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tubask-my.sharepoint.com/personal/karolina_gabrisova_stuba_sk/Documents/01_Škola/01_PhD/2. ročník 2025-2026/01_Výučba/KaGa - EACB 2025/02 Zadanie 2/"/>
    </mc:Choice>
  </mc:AlternateContent>
  <xr:revisionPtr revIDLastSave="13" documentId="8_{D6409A99-3D11-4F3E-8DF8-F24E85FB4926}" xr6:coauthVersionLast="47" xr6:coauthVersionMax="47" xr10:uidLastSave="{65058C9B-B336-4447-BF2B-01A16ABB51F5}"/>
  <bookViews>
    <workbookView xWindow="-108" yWindow="-108" windowWidth="23256" windowHeight="12456" tabRatio="754" activeTab="4" xr2:uid="{00000000-000D-0000-FFFF-FFFF00000000}"/>
  </bookViews>
  <sheets>
    <sheet name="Legenda" sheetId="6" r:id="rId1"/>
    <sheet name="Výpočet_normalizovaný" sheetId="4" r:id="rId2"/>
    <sheet name="Výpočet_lokalita" sheetId="9" r:id="rId3"/>
    <sheet name="Mesačný priemer vonk. teploty" sheetId="7" r:id="rId4"/>
    <sheet name="Intenzita sln. žiarenia" sheetId="10" r:id="rId5"/>
    <sheet name="Trieda budovy" sheetId="5" r:id="rId6"/>
  </sheets>
  <externalReferences>
    <externalReference r:id="rId7"/>
  </externalReferences>
  <definedNames>
    <definedName name="konštrukcie">[1]zoznamy!$A$3:$A$10</definedName>
    <definedName name="materialy">[1]zoznamy!$F$3:$F$65541</definedName>
    <definedName name="odpory">[1]zoznamy!$C$3:$C$6</definedName>
    <definedName name="systém">[1]zoznamy!$AB$2:$AB$3</definedName>
    <definedName name="Z_2EDB7387_9FC9_40AF_A862_6DBD13569CFF_.wvu.Cols" localSheetId="4" hidden="1">'Intenzita sln. žiarenia'!$F:$G,'Intenzita sln. žiarenia'!#REF!,'Intenzita sln. žiarenia'!#REF!,'Intenzita sln. žiarenia'!$AN:$AO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AK267" i="10"/>
  <c r="AH267" i="10"/>
  <c r="AE267" i="10"/>
  <c r="AB267" i="10"/>
  <c r="AK266" i="10"/>
  <c r="AH266" i="10"/>
  <c r="AE266" i="10"/>
  <c r="AB266" i="10"/>
  <c r="AK265" i="10"/>
  <c r="AH265" i="10"/>
  <c r="AE265" i="10"/>
  <c r="AB265" i="10"/>
  <c r="AK264" i="10"/>
  <c r="AH264" i="10"/>
  <c r="AE264" i="10"/>
  <c r="AB264" i="10"/>
  <c r="AK263" i="10"/>
  <c r="AH263" i="10"/>
  <c r="AE263" i="10"/>
  <c r="AB263" i="10"/>
  <c r="AK262" i="10"/>
  <c r="AH262" i="10"/>
  <c r="AE262" i="10"/>
  <c r="AB262" i="10"/>
  <c r="AK261" i="10"/>
  <c r="AH261" i="10"/>
  <c r="AE261" i="10"/>
  <c r="AB261" i="10"/>
  <c r="AK260" i="10"/>
  <c r="AH260" i="10"/>
  <c r="AE260" i="10"/>
  <c r="AB260" i="10"/>
  <c r="AK259" i="10"/>
  <c r="AH259" i="10"/>
  <c r="AE259" i="10"/>
  <c r="AB259" i="10"/>
  <c r="AK258" i="10"/>
  <c r="AH258" i="10"/>
  <c r="AE258" i="10"/>
  <c r="AB258" i="10"/>
  <c r="AK257" i="10"/>
  <c r="AH257" i="10"/>
  <c r="AE257" i="10"/>
  <c r="AB257" i="10"/>
  <c r="AK256" i="10"/>
  <c r="AH256" i="10"/>
  <c r="AE256" i="10"/>
  <c r="AB256" i="10"/>
  <c r="AK252" i="10"/>
  <c r="AH252" i="10"/>
  <c r="AE252" i="10"/>
  <c r="AB252" i="10"/>
  <c r="AK251" i="10"/>
  <c r="AH251" i="10"/>
  <c r="AE251" i="10"/>
  <c r="AB251" i="10"/>
  <c r="AK250" i="10"/>
  <c r="AH250" i="10"/>
  <c r="AE250" i="10"/>
  <c r="AB250" i="10"/>
  <c r="AK249" i="10"/>
  <c r="AH249" i="10"/>
  <c r="AE249" i="10"/>
  <c r="AB249" i="10"/>
  <c r="AK248" i="10"/>
  <c r="AH248" i="10"/>
  <c r="AE248" i="10"/>
  <c r="AB248" i="10"/>
  <c r="AK247" i="10"/>
  <c r="AH247" i="10"/>
  <c r="AE247" i="10"/>
  <c r="AB247" i="10"/>
  <c r="AK246" i="10"/>
  <c r="AH246" i="10"/>
  <c r="AE246" i="10"/>
  <c r="AB246" i="10"/>
  <c r="AK245" i="10"/>
  <c r="AH245" i="10"/>
  <c r="AE245" i="10"/>
  <c r="AB245" i="10"/>
  <c r="AK244" i="10"/>
  <c r="AH244" i="10"/>
  <c r="AE244" i="10"/>
  <c r="AB244" i="10"/>
  <c r="AK243" i="10"/>
  <c r="AH243" i="10"/>
  <c r="AE243" i="10"/>
  <c r="AB243" i="10"/>
  <c r="AK242" i="10"/>
  <c r="AH242" i="10"/>
  <c r="AE242" i="10"/>
  <c r="AB242" i="10"/>
  <c r="AK241" i="10"/>
  <c r="AH241" i="10"/>
  <c r="AE241" i="10"/>
  <c r="AB241" i="10"/>
  <c r="AK237" i="10"/>
  <c r="AH237" i="10"/>
  <c r="AE237" i="10"/>
  <c r="AB237" i="10"/>
  <c r="AK236" i="10"/>
  <c r="AH236" i="10"/>
  <c r="AE236" i="10"/>
  <c r="AB236" i="10"/>
  <c r="AK235" i="10"/>
  <c r="AH235" i="10"/>
  <c r="AE235" i="10"/>
  <c r="AB235" i="10"/>
  <c r="AK234" i="10"/>
  <c r="AH234" i="10"/>
  <c r="AE234" i="10"/>
  <c r="AB234" i="10"/>
  <c r="AK233" i="10"/>
  <c r="AH233" i="10"/>
  <c r="AE233" i="10"/>
  <c r="AB233" i="10"/>
  <c r="AK232" i="10"/>
  <c r="AH232" i="10"/>
  <c r="AE232" i="10"/>
  <c r="AB232" i="10"/>
  <c r="AK231" i="10"/>
  <c r="AH231" i="10"/>
  <c r="AE231" i="10"/>
  <c r="AB231" i="10"/>
  <c r="AK230" i="10"/>
  <c r="AH230" i="10"/>
  <c r="AE230" i="10"/>
  <c r="AB230" i="10"/>
  <c r="AK229" i="10"/>
  <c r="AH229" i="10"/>
  <c r="AE229" i="10"/>
  <c r="AB229" i="10"/>
  <c r="AK228" i="10"/>
  <c r="AH228" i="10"/>
  <c r="AE228" i="10"/>
  <c r="AB228" i="10"/>
  <c r="AK227" i="10"/>
  <c r="AH227" i="10"/>
  <c r="AE227" i="10"/>
  <c r="AB227" i="10"/>
  <c r="AK226" i="10"/>
  <c r="AH226" i="10"/>
  <c r="AE226" i="10"/>
  <c r="AB226" i="10"/>
  <c r="AK222" i="10"/>
  <c r="AH222" i="10"/>
  <c r="AE222" i="10"/>
  <c r="AB222" i="10"/>
  <c r="AK221" i="10"/>
  <c r="AH221" i="10"/>
  <c r="AE221" i="10"/>
  <c r="AB221" i="10"/>
  <c r="AK220" i="10"/>
  <c r="AH220" i="10"/>
  <c r="AE220" i="10"/>
  <c r="AB220" i="10"/>
  <c r="AK219" i="10"/>
  <c r="AH219" i="10"/>
  <c r="AE219" i="10"/>
  <c r="AB219" i="10"/>
  <c r="AK218" i="10"/>
  <c r="AH218" i="10"/>
  <c r="AE218" i="10"/>
  <c r="AB218" i="10"/>
  <c r="AK217" i="10"/>
  <c r="AH217" i="10"/>
  <c r="AE217" i="10"/>
  <c r="AB217" i="10"/>
  <c r="AK216" i="10"/>
  <c r="AH216" i="10"/>
  <c r="AE216" i="10"/>
  <c r="AB216" i="10"/>
  <c r="AK215" i="10"/>
  <c r="AH215" i="10"/>
  <c r="AE215" i="10"/>
  <c r="AB215" i="10"/>
  <c r="AK214" i="10"/>
  <c r="AH214" i="10"/>
  <c r="AE214" i="10"/>
  <c r="AB214" i="10"/>
  <c r="AK213" i="10"/>
  <c r="AH213" i="10"/>
  <c r="AE213" i="10"/>
  <c r="AB213" i="10"/>
  <c r="AK212" i="10"/>
  <c r="AH212" i="10"/>
  <c r="AE212" i="10"/>
  <c r="AB212" i="10"/>
  <c r="AK211" i="10"/>
  <c r="AH211" i="10"/>
  <c r="AE211" i="10"/>
  <c r="AB211" i="10"/>
  <c r="AK207" i="10"/>
  <c r="AH207" i="10"/>
  <c r="AE207" i="10"/>
  <c r="AB207" i="10"/>
  <c r="AK206" i="10"/>
  <c r="AH206" i="10"/>
  <c r="AE206" i="10"/>
  <c r="AB206" i="10"/>
  <c r="AK205" i="10"/>
  <c r="AH205" i="10"/>
  <c r="AE205" i="10"/>
  <c r="AB205" i="10"/>
  <c r="AK204" i="10"/>
  <c r="AH204" i="10"/>
  <c r="AE204" i="10"/>
  <c r="AB204" i="10"/>
  <c r="AK203" i="10"/>
  <c r="AH203" i="10"/>
  <c r="AE203" i="10"/>
  <c r="AB203" i="10"/>
  <c r="AK202" i="10"/>
  <c r="AH202" i="10"/>
  <c r="AE202" i="10"/>
  <c r="AB202" i="10"/>
  <c r="AK201" i="10"/>
  <c r="AH201" i="10"/>
  <c r="AE201" i="10"/>
  <c r="AB201" i="10"/>
  <c r="AK200" i="10"/>
  <c r="AH200" i="10"/>
  <c r="AE200" i="10"/>
  <c r="AB200" i="10"/>
  <c r="AK199" i="10"/>
  <c r="AH199" i="10"/>
  <c r="AE199" i="10"/>
  <c r="AB199" i="10"/>
  <c r="AK198" i="10"/>
  <c r="AH198" i="10"/>
  <c r="AE198" i="10"/>
  <c r="AB198" i="10"/>
  <c r="AK197" i="10"/>
  <c r="AH197" i="10"/>
  <c r="AE197" i="10"/>
  <c r="AB197" i="10"/>
  <c r="AK196" i="10"/>
  <c r="AH196" i="10"/>
  <c r="AE196" i="10"/>
  <c r="AB196" i="10"/>
  <c r="AK192" i="10"/>
  <c r="AH192" i="10"/>
  <c r="AE192" i="10"/>
  <c r="AB192" i="10"/>
  <c r="AK191" i="10"/>
  <c r="AH191" i="10"/>
  <c r="AE191" i="10"/>
  <c r="AB191" i="10"/>
  <c r="AK190" i="10"/>
  <c r="AH190" i="10"/>
  <c r="AE190" i="10"/>
  <c r="AB190" i="10"/>
  <c r="AK189" i="10"/>
  <c r="AH189" i="10"/>
  <c r="AE189" i="10"/>
  <c r="AB189" i="10"/>
  <c r="AK188" i="10"/>
  <c r="AH188" i="10"/>
  <c r="AE188" i="10"/>
  <c r="AB188" i="10"/>
  <c r="AK187" i="10"/>
  <c r="AH187" i="10"/>
  <c r="AE187" i="10"/>
  <c r="AB187" i="10"/>
  <c r="AK186" i="10"/>
  <c r="AH186" i="10"/>
  <c r="AE186" i="10"/>
  <c r="AB186" i="10"/>
  <c r="AK185" i="10"/>
  <c r="AH185" i="10"/>
  <c r="AE185" i="10"/>
  <c r="AB185" i="10"/>
  <c r="AK184" i="10"/>
  <c r="AH184" i="10"/>
  <c r="AE184" i="10"/>
  <c r="AB184" i="10"/>
  <c r="AK183" i="10"/>
  <c r="AH183" i="10"/>
  <c r="AE183" i="10"/>
  <c r="AB183" i="10"/>
  <c r="AK182" i="10"/>
  <c r="AH182" i="10"/>
  <c r="AE182" i="10"/>
  <c r="AB182" i="10"/>
  <c r="AK181" i="10"/>
  <c r="AH181" i="10"/>
  <c r="AE181" i="10"/>
  <c r="AB181" i="10"/>
  <c r="AK177" i="10"/>
  <c r="AH177" i="10"/>
  <c r="AE177" i="10"/>
  <c r="AB177" i="10"/>
  <c r="AK176" i="10"/>
  <c r="AH176" i="10"/>
  <c r="AE176" i="10"/>
  <c r="AB176" i="10"/>
  <c r="AK175" i="10"/>
  <c r="AH175" i="10"/>
  <c r="AE175" i="10"/>
  <c r="AB175" i="10"/>
  <c r="AK174" i="10"/>
  <c r="AH174" i="10"/>
  <c r="AE174" i="10"/>
  <c r="AB174" i="10"/>
  <c r="AK173" i="10"/>
  <c r="AH173" i="10"/>
  <c r="AE173" i="10"/>
  <c r="AB173" i="10"/>
  <c r="AK172" i="10"/>
  <c r="AH172" i="10"/>
  <c r="AE172" i="10"/>
  <c r="AB172" i="10"/>
  <c r="AK171" i="10"/>
  <c r="AH171" i="10"/>
  <c r="AE171" i="10"/>
  <c r="AB171" i="10"/>
  <c r="AK170" i="10"/>
  <c r="AH170" i="10"/>
  <c r="AE170" i="10"/>
  <c r="AB170" i="10"/>
  <c r="AK169" i="10"/>
  <c r="AH169" i="10"/>
  <c r="AE169" i="10"/>
  <c r="AB169" i="10"/>
  <c r="AK168" i="10"/>
  <c r="AH168" i="10"/>
  <c r="AE168" i="10"/>
  <c r="AB168" i="10"/>
  <c r="AK167" i="10"/>
  <c r="AH167" i="10"/>
  <c r="AE167" i="10"/>
  <c r="AB167" i="10"/>
  <c r="AK166" i="10"/>
  <c r="AH166" i="10"/>
  <c r="AE166" i="10"/>
  <c r="AB166" i="10"/>
  <c r="AK162" i="10"/>
  <c r="AH162" i="10"/>
  <c r="AE162" i="10"/>
  <c r="AB162" i="10"/>
  <c r="AK161" i="10"/>
  <c r="AH161" i="10"/>
  <c r="AE161" i="10"/>
  <c r="AB161" i="10"/>
  <c r="AK160" i="10"/>
  <c r="AH160" i="10"/>
  <c r="AE160" i="10"/>
  <c r="AB160" i="10"/>
  <c r="AK159" i="10"/>
  <c r="AH159" i="10"/>
  <c r="AE159" i="10"/>
  <c r="AB159" i="10"/>
  <c r="AK158" i="10"/>
  <c r="AH158" i="10"/>
  <c r="AE158" i="10"/>
  <c r="AB158" i="10"/>
  <c r="AK157" i="10"/>
  <c r="AH157" i="10"/>
  <c r="AE157" i="10"/>
  <c r="AB157" i="10"/>
  <c r="AK156" i="10"/>
  <c r="AH156" i="10"/>
  <c r="AE156" i="10"/>
  <c r="AB156" i="10"/>
  <c r="AK155" i="10"/>
  <c r="AH155" i="10"/>
  <c r="AE155" i="10"/>
  <c r="AB155" i="10"/>
  <c r="AK154" i="10"/>
  <c r="AH154" i="10"/>
  <c r="AE154" i="10"/>
  <c r="AB154" i="10"/>
  <c r="AK153" i="10"/>
  <c r="AH153" i="10"/>
  <c r="AE153" i="10"/>
  <c r="AB153" i="10"/>
  <c r="AK152" i="10"/>
  <c r="AH152" i="10"/>
  <c r="AE152" i="10"/>
  <c r="AB152" i="10"/>
  <c r="AK151" i="10"/>
  <c r="AH151" i="10"/>
  <c r="AE151" i="10"/>
  <c r="AB151" i="10"/>
  <c r="AK147" i="10"/>
  <c r="AH147" i="10"/>
  <c r="AE147" i="10"/>
  <c r="AB147" i="10"/>
  <c r="AK146" i="10"/>
  <c r="AH146" i="10"/>
  <c r="AE146" i="10"/>
  <c r="AB146" i="10"/>
  <c r="AK145" i="10"/>
  <c r="AH145" i="10"/>
  <c r="AE145" i="10"/>
  <c r="AB145" i="10"/>
  <c r="AK144" i="10"/>
  <c r="AH144" i="10"/>
  <c r="AE144" i="10"/>
  <c r="AB144" i="10"/>
  <c r="AK143" i="10"/>
  <c r="AH143" i="10"/>
  <c r="AE143" i="10"/>
  <c r="AB143" i="10"/>
  <c r="AK142" i="10"/>
  <c r="AH142" i="10"/>
  <c r="AE142" i="10"/>
  <c r="AB142" i="10"/>
  <c r="AK141" i="10"/>
  <c r="AH141" i="10"/>
  <c r="AE141" i="10"/>
  <c r="AB141" i="10"/>
  <c r="AK140" i="10"/>
  <c r="AH140" i="10"/>
  <c r="AE140" i="10"/>
  <c r="AB140" i="10"/>
  <c r="AK139" i="10"/>
  <c r="AH139" i="10"/>
  <c r="AE139" i="10"/>
  <c r="AB139" i="10"/>
  <c r="AK138" i="10"/>
  <c r="AH138" i="10"/>
  <c r="AE138" i="10"/>
  <c r="AB138" i="10"/>
  <c r="AK137" i="10"/>
  <c r="AH137" i="10"/>
  <c r="AE137" i="10"/>
  <c r="AB137" i="10"/>
  <c r="AK136" i="10"/>
  <c r="AH136" i="10"/>
  <c r="AE136" i="10"/>
  <c r="AB136" i="10"/>
  <c r="AK131" i="10"/>
  <c r="AH131" i="10"/>
  <c r="AE131" i="10"/>
  <c r="AB131" i="10"/>
  <c r="AK130" i="10"/>
  <c r="AH130" i="10"/>
  <c r="AE130" i="10"/>
  <c r="AB130" i="10"/>
  <c r="AK129" i="10"/>
  <c r="AH129" i="10"/>
  <c r="AE129" i="10"/>
  <c r="AB129" i="10"/>
  <c r="AK128" i="10"/>
  <c r="AH128" i="10"/>
  <c r="AE128" i="10"/>
  <c r="AB128" i="10"/>
  <c r="AK127" i="10"/>
  <c r="AH127" i="10"/>
  <c r="AE127" i="10"/>
  <c r="AB127" i="10"/>
  <c r="AK126" i="10"/>
  <c r="AH126" i="10"/>
  <c r="AE126" i="10"/>
  <c r="AB126" i="10"/>
  <c r="AK125" i="10"/>
  <c r="AH125" i="10"/>
  <c r="AE125" i="10"/>
  <c r="AB125" i="10"/>
  <c r="AK124" i="10"/>
  <c r="AH124" i="10"/>
  <c r="AE124" i="10"/>
  <c r="AB124" i="10"/>
  <c r="AK123" i="10"/>
  <c r="AH123" i="10"/>
  <c r="AE123" i="10"/>
  <c r="AB123" i="10"/>
  <c r="AK122" i="10"/>
  <c r="AH122" i="10"/>
  <c r="AE122" i="10"/>
  <c r="AB122" i="10"/>
  <c r="AK121" i="10"/>
  <c r="AH121" i="10"/>
  <c r="AE121" i="10"/>
  <c r="AB121" i="10"/>
  <c r="AK120" i="10"/>
  <c r="AH120" i="10"/>
  <c r="AE120" i="10"/>
  <c r="AB120" i="10"/>
  <c r="AK115" i="10"/>
  <c r="AH115" i="10"/>
  <c r="AE115" i="10"/>
  <c r="AB115" i="10"/>
  <c r="AK114" i="10"/>
  <c r="AH114" i="10"/>
  <c r="AE114" i="10"/>
  <c r="AB114" i="10"/>
  <c r="AK113" i="10"/>
  <c r="AH113" i="10"/>
  <c r="AE113" i="10"/>
  <c r="AB113" i="10"/>
  <c r="AK112" i="10"/>
  <c r="AH112" i="10"/>
  <c r="AE112" i="10"/>
  <c r="AB112" i="10"/>
  <c r="AK111" i="10"/>
  <c r="AH111" i="10"/>
  <c r="AE111" i="10"/>
  <c r="AB111" i="10"/>
  <c r="AK110" i="10"/>
  <c r="AH110" i="10"/>
  <c r="AE110" i="10"/>
  <c r="AB110" i="10"/>
  <c r="AK109" i="10"/>
  <c r="AH109" i="10"/>
  <c r="AE109" i="10"/>
  <c r="AB109" i="10"/>
  <c r="AK108" i="10"/>
  <c r="AH108" i="10"/>
  <c r="AE108" i="10"/>
  <c r="AB108" i="10"/>
  <c r="AK107" i="10"/>
  <c r="AH107" i="10"/>
  <c r="AE107" i="10"/>
  <c r="AB107" i="10"/>
  <c r="AK106" i="10"/>
  <c r="AH106" i="10"/>
  <c r="AE106" i="10"/>
  <c r="AB106" i="10"/>
  <c r="AK105" i="10"/>
  <c r="AH105" i="10"/>
  <c r="AE105" i="10"/>
  <c r="AB105" i="10"/>
  <c r="AK104" i="10"/>
  <c r="AH104" i="10"/>
  <c r="AE104" i="10"/>
  <c r="AB104" i="10"/>
  <c r="AK98" i="10"/>
  <c r="AH98" i="10"/>
  <c r="AE98" i="10"/>
  <c r="AB98" i="10"/>
  <c r="AK97" i="10"/>
  <c r="AH97" i="10"/>
  <c r="AE97" i="10"/>
  <c r="AB97" i="10"/>
  <c r="AK96" i="10"/>
  <c r="AH96" i="10"/>
  <c r="AE96" i="10"/>
  <c r="AB96" i="10"/>
  <c r="AK95" i="10"/>
  <c r="AH95" i="10"/>
  <c r="AE95" i="10"/>
  <c r="AB95" i="10"/>
  <c r="AK94" i="10"/>
  <c r="AH94" i="10"/>
  <c r="AE94" i="10"/>
  <c r="AB94" i="10"/>
  <c r="AK93" i="10"/>
  <c r="AH93" i="10"/>
  <c r="AE93" i="10"/>
  <c r="AB93" i="10"/>
  <c r="AK92" i="10"/>
  <c r="AH92" i="10"/>
  <c r="AE92" i="10"/>
  <c r="AB92" i="10"/>
  <c r="AK91" i="10"/>
  <c r="AH91" i="10"/>
  <c r="AE91" i="10"/>
  <c r="AB91" i="10"/>
  <c r="AK90" i="10"/>
  <c r="AH90" i="10"/>
  <c r="AE90" i="10"/>
  <c r="AB90" i="10"/>
  <c r="AK89" i="10"/>
  <c r="AH89" i="10"/>
  <c r="AE89" i="10"/>
  <c r="AB89" i="10"/>
  <c r="AK88" i="10"/>
  <c r="AH88" i="10"/>
  <c r="AE88" i="10"/>
  <c r="AB88" i="10"/>
  <c r="AK87" i="10"/>
  <c r="AH87" i="10"/>
  <c r="AE87" i="10"/>
  <c r="AB87" i="10"/>
  <c r="AK82" i="10"/>
  <c r="AH82" i="10"/>
  <c r="AE82" i="10"/>
  <c r="AB82" i="10"/>
  <c r="AK81" i="10"/>
  <c r="AH81" i="10"/>
  <c r="AE81" i="10"/>
  <c r="AB81" i="10"/>
  <c r="AK80" i="10"/>
  <c r="AH80" i="10"/>
  <c r="AE80" i="10"/>
  <c r="AB80" i="10"/>
  <c r="AK79" i="10"/>
  <c r="AH79" i="10"/>
  <c r="AE79" i="10"/>
  <c r="AB79" i="10"/>
  <c r="AK78" i="10"/>
  <c r="AH78" i="10"/>
  <c r="AE78" i="10"/>
  <c r="AB78" i="10"/>
  <c r="AK77" i="10"/>
  <c r="AH77" i="10"/>
  <c r="AE77" i="10"/>
  <c r="AB77" i="10"/>
  <c r="AK76" i="10"/>
  <c r="AH76" i="10"/>
  <c r="AE76" i="10"/>
  <c r="AB76" i="10"/>
  <c r="AK75" i="10"/>
  <c r="AH75" i="10"/>
  <c r="AE75" i="10"/>
  <c r="AB75" i="10"/>
  <c r="AK74" i="10"/>
  <c r="AH74" i="10"/>
  <c r="AE74" i="10"/>
  <c r="AB74" i="10"/>
  <c r="AK73" i="10"/>
  <c r="AH73" i="10"/>
  <c r="AE73" i="10"/>
  <c r="AB73" i="10"/>
  <c r="AK72" i="10"/>
  <c r="AH72" i="10"/>
  <c r="AE72" i="10"/>
  <c r="AB72" i="10"/>
  <c r="AK71" i="10"/>
  <c r="AH71" i="10"/>
  <c r="AE71" i="10"/>
  <c r="AB71" i="10"/>
  <c r="AK67" i="10"/>
  <c r="AH67" i="10"/>
  <c r="AE67" i="10"/>
  <c r="AB67" i="10"/>
  <c r="AK66" i="10"/>
  <c r="AH66" i="10"/>
  <c r="AE66" i="10"/>
  <c r="AB66" i="10"/>
  <c r="AK65" i="10"/>
  <c r="AH65" i="10"/>
  <c r="AE65" i="10"/>
  <c r="AB65" i="10"/>
  <c r="AK64" i="10"/>
  <c r="AH64" i="10"/>
  <c r="AE64" i="10"/>
  <c r="AB64" i="10"/>
  <c r="AK63" i="10"/>
  <c r="AH63" i="10"/>
  <c r="AE63" i="10"/>
  <c r="AB63" i="10"/>
  <c r="AK62" i="10"/>
  <c r="AH62" i="10"/>
  <c r="AE62" i="10"/>
  <c r="AB62" i="10"/>
  <c r="AK61" i="10"/>
  <c r="AH61" i="10"/>
  <c r="AE61" i="10"/>
  <c r="AB61" i="10"/>
  <c r="AK60" i="10"/>
  <c r="AH60" i="10"/>
  <c r="AE60" i="10"/>
  <c r="AB60" i="10"/>
  <c r="AK59" i="10"/>
  <c r="AH59" i="10"/>
  <c r="AE59" i="10"/>
  <c r="AB59" i="10"/>
  <c r="AK58" i="10"/>
  <c r="AH58" i="10"/>
  <c r="AE58" i="10"/>
  <c r="AB58" i="10"/>
  <c r="AK57" i="10"/>
  <c r="AH57" i="10"/>
  <c r="AE57" i="10"/>
  <c r="AB57" i="10"/>
  <c r="AK56" i="10"/>
  <c r="AH56" i="10"/>
  <c r="AE56" i="10"/>
  <c r="AB56" i="10"/>
  <c r="AK52" i="10"/>
  <c r="AH52" i="10"/>
  <c r="AE52" i="10"/>
  <c r="AB52" i="10"/>
  <c r="AK51" i="10"/>
  <c r="AH51" i="10"/>
  <c r="AE51" i="10"/>
  <c r="AB51" i="10"/>
  <c r="AK50" i="10"/>
  <c r="AH50" i="10"/>
  <c r="AE50" i="10"/>
  <c r="AB50" i="10"/>
  <c r="AK49" i="10"/>
  <c r="AH49" i="10"/>
  <c r="AE49" i="10"/>
  <c r="AB49" i="10"/>
  <c r="AK48" i="10"/>
  <c r="AH48" i="10"/>
  <c r="AE48" i="10"/>
  <c r="AB48" i="10"/>
  <c r="AK47" i="10"/>
  <c r="AH47" i="10"/>
  <c r="AE47" i="10"/>
  <c r="AB47" i="10"/>
  <c r="AK46" i="10"/>
  <c r="AH46" i="10"/>
  <c r="AE46" i="10"/>
  <c r="AB46" i="10"/>
  <c r="AK45" i="10"/>
  <c r="AH45" i="10"/>
  <c r="AE45" i="10"/>
  <c r="AB45" i="10"/>
  <c r="AK44" i="10"/>
  <c r="AH44" i="10"/>
  <c r="AE44" i="10"/>
  <c r="AB44" i="10"/>
  <c r="AK43" i="10"/>
  <c r="AH43" i="10"/>
  <c r="AE43" i="10"/>
  <c r="AB43" i="10"/>
  <c r="AK42" i="10"/>
  <c r="AH42" i="10"/>
  <c r="AE42" i="10"/>
  <c r="AB42" i="10"/>
  <c r="AK41" i="10"/>
  <c r="AH41" i="10"/>
  <c r="AE41" i="10"/>
  <c r="AB41" i="10"/>
  <c r="AK37" i="10"/>
  <c r="AH37" i="10"/>
  <c r="AE37" i="10"/>
  <c r="AB37" i="10"/>
  <c r="AK36" i="10"/>
  <c r="AH36" i="10"/>
  <c r="AE36" i="10"/>
  <c r="AB36" i="10"/>
  <c r="AK35" i="10"/>
  <c r="AH35" i="10"/>
  <c r="AE35" i="10"/>
  <c r="AB35" i="10"/>
  <c r="AK34" i="10"/>
  <c r="AH34" i="10"/>
  <c r="AE34" i="10"/>
  <c r="AB34" i="10"/>
  <c r="AK33" i="10"/>
  <c r="AH33" i="10"/>
  <c r="AE33" i="10"/>
  <c r="AB33" i="10"/>
  <c r="AK32" i="10"/>
  <c r="AH32" i="10"/>
  <c r="AE32" i="10"/>
  <c r="AB32" i="10"/>
  <c r="AK31" i="10"/>
  <c r="AH31" i="10"/>
  <c r="AE31" i="10"/>
  <c r="AB31" i="10"/>
  <c r="AK30" i="10"/>
  <c r="AH30" i="10"/>
  <c r="AE30" i="10"/>
  <c r="AB30" i="10"/>
  <c r="AK29" i="10"/>
  <c r="AH29" i="10"/>
  <c r="AE29" i="10"/>
  <c r="AB29" i="10"/>
  <c r="AK28" i="10"/>
  <c r="AH28" i="10"/>
  <c r="AE28" i="10"/>
  <c r="AB28" i="10"/>
  <c r="AK27" i="10"/>
  <c r="AH27" i="10"/>
  <c r="AE27" i="10"/>
  <c r="AB27" i="10"/>
  <c r="AK26" i="10"/>
  <c r="AH26" i="10"/>
  <c r="AE26" i="10"/>
  <c r="AB26" i="10"/>
  <c r="AK22" i="10"/>
  <c r="AH22" i="10"/>
  <c r="AE22" i="10"/>
  <c r="AB22" i="10"/>
  <c r="AK21" i="10"/>
  <c r="AH21" i="10"/>
  <c r="AE21" i="10"/>
  <c r="AB21" i="10"/>
  <c r="AK20" i="10"/>
  <c r="AH20" i="10"/>
  <c r="AE20" i="10"/>
  <c r="AB20" i="10"/>
  <c r="AK19" i="10"/>
  <c r="AH19" i="10"/>
  <c r="AE19" i="10"/>
  <c r="AB19" i="10"/>
  <c r="AK18" i="10"/>
  <c r="AH18" i="10"/>
  <c r="AE18" i="10"/>
  <c r="AB18" i="10"/>
  <c r="AK17" i="10"/>
  <c r="AH17" i="10"/>
  <c r="AE17" i="10"/>
  <c r="AB17" i="10"/>
  <c r="AK16" i="10"/>
  <c r="AH16" i="10"/>
  <c r="AE16" i="10"/>
  <c r="AB16" i="10"/>
  <c r="AK15" i="10"/>
  <c r="AH15" i="10"/>
  <c r="AE15" i="10"/>
  <c r="AB15" i="10"/>
  <c r="AK14" i="10"/>
  <c r="AH14" i="10"/>
  <c r="AE14" i="10"/>
  <c r="AB14" i="10"/>
  <c r="AK13" i="10"/>
  <c r="AH13" i="10"/>
  <c r="AE13" i="10"/>
  <c r="AB13" i="10"/>
  <c r="AK12" i="10"/>
  <c r="AH12" i="10"/>
  <c r="AE12" i="10"/>
  <c r="AB12" i="10"/>
  <c r="AK11" i="10"/>
  <c r="AH11" i="10"/>
  <c r="AE11" i="10"/>
  <c r="AB11" i="10"/>
  <c r="B1" i="9" l="1"/>
  <c r="B1" i="4"/>
  <c r="B3" i="4"/>
  <c r="G27" i="4" l="1"/>
  <c r="D16" i="4"/>
  <c r="D17" i="9"/>
  <c r="F9" i="4"/>
  <c r="H9" i="4" s="1"/>
  <c r="F8" i="4"/>
  <c r="H8" i="4" s="1"/>
  <c r="B3" i="9" l="1"/>
  <c r="C10" i="5"/>
  <c r="C9" i="5"/>
  <c r="C8" i="5"/>
  <c r="C7" i="5"/>
  <c r="D3" i="9"/>
  <c r="D3" i="4"/>
  <c r="D5" i="4" s="1"/>
  <c r="D5" i="9" l="1"/>
  <c r="H1" i="9"/>
  <c r="D6" i="5"/>
  <c r="I55" i="9"/>
  <c r="C55" i="9"/>
  <c r="G28" i="9"/>
  <c r="H25" i="9"/>
  <c r="F55" i="9"/>
  <c r="I58" i="7"/>
  <c r="I56" i="7"/>
  <c r="I53" i="7"/>
  <c r="I60" i="7"/>
  <c r="I59" i="7"/>
  <c r="I57" i="7"/>
  <c r="I55" i="7"/>
  <c r="I54" i="7"/>
  <c r="I52" i="7"/>
  <c r="I51" i="7"/>
  <c r="I50" i="7"/>
  <c r="I49" i="7"/>
  <c r="D51" i="7"/>
  <c r="D60" i="7"/>
  <c r="D59" i="7"/>
  <c r="D58" i="7"/>
  <c r="D57" i="7"/>
  <c r="D56" i="7"/>
  <c r="D55" i="7"/>
  <c r="D54" i="7"/>
  <c r="D53" i="7"/>
  <c r="D52" i="7"/>
  <c r="D50" i="7"/>
  <c r="D49" i="7"/>
  <c r="I37" i="7"/>
  <c r="I36" i="7"/>
  <c r="I35" i="7"/>
  <c r="X44" i="7"/>
  <c r="X42" i="7"/>
  <c r="X38" i="7"/>
  <c r="X46" i="7"/>
  <c r="X45" i="7"/>
  <c r="X43" i="7"/>
  <c r="X41" i="7"/>
  <c r="X40" i="7"/>
  <c r="X39" i="7"/>
  <c r="X37" i="7"/>
  <c r="X36" i="7"/>
  <c r="X35" i="7"/>
  <c r="N40" i="7"/>
  <c r="N46" i="7"/>
  <c r="N45" i="7"/>
  <c r="N44" i="7"/>
  <c r="N43" i="7"/>
  <c r="N42" i="7"/>
  <c r="N41" i="7"/>
  <c r="N39" i="7"/>
  <c r="N38" i="7"/>
  <c r="N37" i="7"/>
  <c r="N36" i="7"/>
  <c r="N35" i="7"/>
  <c r="D46" i="7"/>
  <c r="D45" i="7"/>
  <c r="D44" i="7"/>
  <c r="D43" i="7"/>
  <c r="D42" i="7"/>
  <c r="D41" i="7"/>
  <c r="D40" i="7"/>
  <c r="D39" i="7"/>
  <c r="D38" i="7"/>
  <c r="D37" i="7"/>
  <c r="D36" i="7"/>
  <c r="D35" i="7"/>
  <c r="S37" i="7"/>
  <c r="S46" i="7"/>
  <c r="S45" i="7"/>
  <c r="S44" i="7"/>
  <c r="S43" i="7"/>
  <c r="S42" i="7"/>
  <c r="S41" i="7"/>
  <c r="S40" i="7"/>
  <c r="S39" i="7"/>
  <c r="S38" i="7"/>
  <c r="S36" i="7"/>
  <c r="S35" i="7"/>
  <c r="I46" i="7"/>
  <c r="I45" i="7"/>
  <c r="I44" i="7"/>
  <c r="I43" i="7"/>
  <c r="I42" i="7"/>
  <c r="I41" i="7"/>
  <c r="I40" i="7"/>
  <c r="I39" i="7"/>
  <c r="I38" i="7"/>
  <c r="X32" i="7"/>
  <c r="X31" i="7"/>
  <c r="X30" i="7"/>
  <c r="X29" i="7"/>
  <c r="X28" i="7"/>
  <c r="X27" i="7"/>
  <c r="X26" i="7"/>
  <c r="X25" i="7"/>
  <c r="X24" i="7"/>
  <c r="X23" i="7"/>
  <c r="X22" i="7"/>
  <c r="X21" i="7"/>
  <c r="S32" i="7"/>
  <c r="S31" i="7"/>
  <c r="S30" i="7"/>
  <c r="S29" i="7"/>
  <c r="S28" i="7"/>
  <c r="S27" i="7"/>
  <c r="S26" i="7"/>
  <c r="S25" i="7"/>
  <c r="S24" i="7"/>
  <c r="S23" i="7"/>
  <c r="S22" i="7"/>
  <c r="S21" i="7"/>
  <c r="N32" i="7"/>
  <c r="N31" i="7"/>
  <c r="N30" i="7"/>
  <c r="N29" i="7"/>
  <c r="N28" i="7"/>
  <c r="N27" i="7"/>
  <c r="N26" i="7"/>
  <c r="N25" i="7"/>
  <c r="N24" i="7"/>
  <c r="N23" i="7"/>
  <c r="N22" i="7"/>
  <c r="N21" i="7"/>
  <c r="I32" i="7"/>
  <c r="I31" i="7"/>
  <c r="I30" i="7"/>
  <c r="I29" i="7"/>
  <c r="I28" i="7"/>
  <c r="I27" i="7"/>
  <c r="I26" i="7"/>
  <c r="I25" i="7"/>
  <c r="I24" i="7"/>
  <c r="I23" i="7"/>
  <c r="I22" i="7"/>
  <c r="I21" i="7"/>
  <c r="D32" i="7"/>
  <c r="D31" i="7"/>
  <c r="D30" i="7"/>
  <c r="D29" i="7"/>
  <c r="D28" i="7"/>
  <c r="D27" i="7"/>
  <c r="D26" i="7"/>
  <c r="D25" i="7"/>
  <c r="D24" i="7"/>
  <c r="D23" i="7"/>
  <c r="D22" i="7"/>
  <c r="D21" i="7"/>
  <c r="X18" i="7"/>
  <c r="X17" i="7"/>
  <c r="X16" i="7"/>
  <c r="X15" i="7"/>
  <c r="X14" i="7"/>
  <c r="X13" i="7"/>
  <c r="X12" i="7"/>
  <c r="X11" i="7"/>
  <c r="X10" i="7"/>
  <c r="X9" i="7"/>
  <c r="X8" i="7"/>
  <c r="X7" i="7"/>
  <c r="S12" i="7"/>
  <c r="S11" i="7"/>
  <c r="S18" i="7"/>
  <c r="S17" i="7"/>
  <c r="S16" i="7"/>
  <c r="S15" i="7"/>
  <c r="S14" i="7"/>
  <c r="S13" i="7"/>
  <c r="S10" i="7"/>
  <c r="S9" i="7"/>
  <c r="S8" i="7"/>
  <c r="S7" i="7"/>
  <c r="N18" i="7"/>
  <c r="N17" i="7"/>
  <c r="N16" i="7"/>
  <c r="N15" i="7"/>
  <c r="N14" i="7"/>
  <c r="N13" i="7"/>
  <c r="N12" i="7"/>
  <c r="N11" i="7"/>
  <c r="N10" i="7"/>
  <c r="N9" i="7"/>
  <c r="N8" i="7"/>
  <c r="N7" i="7"/>
  <c r="I18" i="7"/>
  <c r="I17" i="7"/>
  <c r="I16" i="7"/>
  <c r="I15" i="7"/>
  <c r="I14" i="7"/>
  <c r="I13" i="7"/>
  <c r="I12" i="7"/>
  <c r="I11" i="7"/>
  <c r="I10" i="7"/>
  <c r="I9" i="7"/>
  <c r="I8" i="7"/>
  <c r="I7" i="7"/>
  <c r="D18" i="7"/>
  <c r="D17" i="7"/>
  <c r="D16" i="7"/>
  <c r="D15" i="7"/>
  <c r="D14" i="7"/>
  <c r="D13" i="7"/>
  <c r="D12" i="7"/>
  <c r="D11" i="7"/>
  <c r="D10" i="7"/>
  <c r="D9" i="7"/>
  <c r="D8" i="7"/>
  <c r="D7" i="7"/>
  <c r="I70" i="4"/>
  <c r="H70" i="4"/>
  <c r="G70" i="4"/>
  <c r="F70" i="4"/>
  <c r="E70" i="4"/>
  <c r="D70" i="4"/>
  <c r="C70" i="4"/>
  <c r="I68" i="4"/>
  <c r="H68" i="4"/>
  <c r="G68" i="4"/>
  <c r="F68" i="4"/>
  <c r="E68" i="4"/>
  <c r="D68" i="4"/>
  <c r="C68" i="4"/>
  <c r="I66" i="4"/>
  <c r="H66" i="4"/>
  <c r="G66" i="4"/>
  <c r="F66" i="4"/>
  <c r="E66" i="4"/>
  <c r="D66" i="4"/>
  <c r="C66" i="4"/>
  <c r="C72" i="4"/>
  <c r="D72" i="4"/>
  <c r="E72" i="4"/>
  <c r="F72" i="4"/>
  <c r="G72" i="4"/>
  <c r="H72" i="4"/>
  <c r="I72" i="4"/>
  <c r="C64" i="4"/>
  <c r="I64" i="4"/>
  <c r="H64" i="4"/>
  <c r="G64" i="4"/>
  <c r="F64" i="4"/>
  <c r="E64" i="4"/>
  <c r="D64" i="4"/>
  <c r="G73" i="9"/>
  <c r="C73" i="9"/>
  <c r="G71" i="9"/>
  <c r="D71" i="9"/>
  <c r="E71" i="9"/>
  <c r="F71" i="9"/>
  <c r="H71" i="9"/>
  <c r="I71" i="9"/>
  <c r="C71" i="9"/>
  <c r="C69" i="9"/>
  <c r="G65" i="9"/>
  <c r="D65" i="9"/>
  <c r="E65" i="9"/>
  <c r="F65" i="9"/>
  <c r="H65" i="9"/>
  <c r="I65" i="9"/>
  <c r="C65" i="9"/>
  <c r="I67" i="9"/>
  <c r="D67" i="9"/>
  <c r="E67" i="9"/>
  <c r="F67" i="9"/>
  <c r="G67" i="9"/>
  <c r="H67" i="9"/>
  <c r="C67" i="9"/>
  <c r="G69" i="9"/>
  <c r="D69" i="9"/>
  <c r="E69" i="9"/>
  <c r="F69" i="9"/>
  <c r="H69" i="9"/>
  <c r="I69" i="9"/>
  <c r="BA267" i="10" l="1"/>
  <c r="BA266" i="10"/>
  <c r="BA265" i="10"/>
  <c r="BA264" i="10"/>
  <c r="BA263" i="10"/>
  <c r="BA262" i="10"/>
  <c r="BA261" i="10"/>
  <c r="BA260" i="10"/>
  <c r="BA259" i="10"/>
  <c r="BA258" i="10"/>
  <c r="BA257" i="10"/>
  <c r="BA256" i="10"/>
  <c r="AX267" i="10"/>
  <c r="AX266" i="10"/>
  <c r="AX265" i="10"/>
  <c r="AX264" i="10"/>
  <c r="AX263" i="10"/>
  <c r="AX262" i="10"/>
  <c r="AX261" i="10"/>
  <c r="AX260" i="10"/>
  <c r="AX259" i="10"/>
  <c r="AX258" i="10"/>
  <c r="AX257" i="10"/>
  <c r="AX256" i="10"/>
  <c r="AU267" i="10"/>
  <c r="AU266" i="10"/>
  <c r="AU265" i="10"/>
  <c r="AU264" i="10"/>
  <c r="AU263" i="10"/>
  <c r="AU262" i="10"/>
  <c r="AU261" i="10"/>
  <c r="AU260" i="10"/>
  <c r="AU259" i="10"/>
  <c r="AU258" i="10"/>
  <c r="AU257" i="10"/>
  <c r="AU256" i="10"/>
  <c r="AR267" i="10"/>
  <c r="AR266" i="10"/>
  <c r="AR265" i="10"/>
  <c r="AR264" i="10"/>
  <c r="AR263" i="10"/>
  <c r="AR262" i="10"/>
  <c r="AR261" i="10"/>
  <c r="AR260" i="10"/>
  <c r="AR259" i="10"/>
  <c r="AR258" i="10"/>
  <c r="AR257" i="10"/>
  <c r="AR256" i="10"/>
  <c r="BA252" i="10"/>
  <c r="BA251" i="10"/>
  <c r="BA250" i="10"/>
  <c r="BA249" i="10"/>
  <c r="BA248" i="10"/>
  <c r="BA247" i="10"/>
  <c r="BA246" i="10"/>
  <c r="BA245" i="10"/>
  <c r="BA244" i="10"/>
  <c r="BA243" i="10"/>
  <c r="BA242" i="10"/>
  <c r="BA241" i="10"/>
  <c r="AX252" i="10"/>
  <c r="AX251" i="10"/>
  <c r="AX250" i="10"/>
  <c r="AX249" i="10"/>
  <c r="AX248" i="10"/>
  <c r="AX247" i="10"/>
  <c r="AX246" i="10"/>
  <c r="AX245" i="10"/>
  <c r="AX244" i="10"/>
  <c r="AX243" i="10"/>
  <c r="AX242" i="10"/>
  <c r="AX241" i="10"/>
  <c r="AU252" i="10"/>
  <c r="AU251" i="10"/>
  <c r="AU250" i="10"/>
  <c r="AU249" i="10"/>
  <c r="AU248" i="10"/>
  <c r="AU247" i="10"/>
  <c r="AU246" i="10"/>
  <c r="AU245" i="10"/>
  <c r="AU244" i="10"/>
  <c r="AU243" i="10"/>
  <c r="AU242" i="10"/>
  <c r="AU241" i="10"/>
  <c r="AR252" i="10"/>
  <c r="AR251" i="10"/>
  <c r="AR250" i="10"/>
  <c r="AR249" i="10"/>
  <c r="AR248" i="10"/>
  <c r="AR247" i="10"/>
  <c r="AR246" i="10"/>
  <c r="AR245" i="10"/>
  <c r="AR244" i="10"/>
  <c r="AR243" i="10"/>
  <c r="AR242" i="10"/>
  <c r="AR241" i="10"/>
  <c r="BA237" i="10"/>
  <c r="BA236" i="10"/>
  <c r="BA235" i="10"/>
  <c r="BA234" i="10"/>
  <c r="BA233" i="10"/>
  <c r="BA232" i="10"/>
  <c r="BA231" i="10"/>
  <c r="BA230" i="10"/>
  <c r="BA229" i="10"/>
  <c r="BA228" i="10"/>
  <c r="BA227" i="10"/>
  <c r="BA226" i="10"/>
  <c r="AX237" i="10"/>
  <c r="AX236" i="10"/>
  <c r="AX235" i="10"/>
  <c r="AX234" i="10"/>
  <c r="AX233" i="10"/>
  <c r="AW233" i="10"/>
  <c r="AX232" i="10"/>
  <c r="AX231" i="10"/>
  <c r="AX230" i="10"/>
  <c r="AX229" i="10"/>
  <c r="AX228" i="10"/>
  <c r="AX227" i="10"/>
  <c r="AX226" i="10"/>
  <c r="AU237" i="10"/>
  <c r="AU236" i="10"/>
  <c r="AU235" i="10"/>
  <c r="AU234" i="10"/>
  <c r="AT234" i="10"/>
  <c r="AU233" i="10"/>
  <c r="AU232" i="10"/>
  <c r="AU231" i="10"/>
  <c r="AU230" i="10"/>
  <c r="AU229" i="10"/>
  <c r="AU228" i="10"/>
  <c r="AU227" i="10"/>
  <c r="AU226" i="10"/>
  <c r="AR237" i="10"/>
  <c r="AR236" i="10"/>
  <c r="AR235" i="10"/>
  <c r="AR234" i="10"/>
  <c r="AR233" i="10"/>
  <c r="AR232" i="10"/>
  <c r="AR231" i="10"/>
  <c r="AR230" i="10"/>
  <c r="AR229" i="10"/>
  <c r="AR228" i="10"/>
  <c r="AR227" i="10"/>
  <c r="AR226" i="10"/>
  <c r="BA222" i="10"/>
  <c r="BA221" i="10"/>
  <c r="BA220" i="10"/>
  <c r="BA219" i="10"/>
  <c r="BA218" i="10"/>
  <c r="BA217" i="10"/>
  <c r="BA216" i="10"/>
  <c r="BA215" i="10"/>
  <c r="BA214" i="10"/>
  <c r="BA213" i="10"/>
  <c r="BA212" i="10"/>
  <c r="BA211" i="10"/>
  <c r="AX222" i="10"/>
  <c r="AX221" i="10"/>
  <c r="AX220" i="10"/>
  <c r="AX219" i="10"/>
  <c r="AX218" i="10"/>
  <c r="AX217" i="10"/>
  <c r="AX216" i="10"/>
  <c r="AX215" i="10"/>
  <c r="AX214" i="10"/>
  <c r="AX213" i="10"/>
  <c r="AX212" i="10"/>
  <c r="AX211" i="10"/>
  <c r="AU222" i="10"/>
  <c r="AU221" i="10"/>
  <c r="AU220" i="10"/>
  <c r="AU219" i="10"/>
  <c r="AU218" i="10"/>
  <c r="AU217" i="10"/>
  <c r="AU216" i="10"/>
  <c r="AU215" i="10"/>
  <c r="AU214" i="10"/>
  <c r="AU213" i="10"/>
  <c r="AU212" i="10"/>
  <c r="AU211" i="10"/>
  <c r="AR222" i="10"/>
  <c r="AR221" i="10"/>
  <c r="AR220" i="10"/>
  <c r="AR219" i="10"/>
  <c r="AR218" i="10"/>
  <c r="AR217" i="10"/>
  <c r="AR216" i="10"/>
  <c r="AR215" i="10"/>
  <c r="AR214" i="10"/>
  <c r="AR213" i="10"/>
  <c r="AR212" i="10"/>
  <c r="AR211" i="10"/>
  <c r="BA207" i="10"/>
  <c r="BA206" i="10"/>
  <c r="BA205" i="10"/>
  <c r="BA204" i="10"/>
  <c r="BA203" i="10"/>
  <c r="BA202" i="10"/>
  <c r="BA201" i="10"/>
  <c r="BA200" i="10"/>
  <c r="BA199" i="10"/>
  <c r="BA198" i="10"/>
  <c r="BA197" i="10"/>
  <c r="AZ197" i="10"/>
  <c r="BA196" i="10"/>
  <c r="AX207" i="10"/>
  <c r="AX206" i="10"/>
  <c r="AX205" i="10"/>
  <c r="AX204" i="10"/>
  <c r="AX203" i="10"/>
  <c r="AX202" i="10"/>
  <c r="AX201" i="10"/>
  <c r="AX200" i="10"/>
  <c r="AX199" i="10"/>
  <c r="AX198" i="10"/>
  <c r="AX197" i="10"/>
  <c r="AW197" i="10"/>
  <c r="AX196" i="10"/>
  <c r="AU207" i="10"/>
  <c r="AU206" i="10"/>
  <c r="AU205" i="10"/>
  <c r="AU204" i="10"/>
  <c r="AU203" i="10"/>
  <c r="AU202" i="10"/>
  <c r="AU201" i="10"/>
  <c r="AU200" i="10"/>
  <c r="AU199" i="10"/>
  <c r="AU198" i="10"/>
  <c r="AT198" i="10"/>
  <c r="AU197" i="10"/>
  <c r="AU196" i="10"/>
  <c r="AR207" i="10"/>
  <c r="AR206" i="10"/>
  <c r="AR205" i="10"/>
  <c r="AR204" i="10"/>
  <c r="AR203" i="10"/>
  <c r="AR202" i="10"/>
  <c r="AR201" i="10"/>
  <c r="AR200" i="10"/>
  <c r="AR199" i="10"/>
  <c r="AR198" i="10"/>
  <c r="AR197" i="10"/>
  <c r="AR196" i="10"/>
  <c r="BA192" i="10"/>
  <c r="BA191" i="10"/>
  <c r="BA190" i="10"/>
  <c r="BA189" i="10"/>
  <c r="BA188" i="10"/>
  <c r="BA187" i="10"/>
  <c r="BA186" i="10"/>
  <c r="BA185" i="10"/>
  <c r="BA184" i="10"/>
  <c r="BA183" i="10"/>
  <c r="BA182" i="10"/>
  <c r="BA181" i="10"/>
  <c r="AX192" i="10"/>
  <c r="AX191" i="10"/>
  <c r="AX190" i="10"/>
  <c r="AX189" i="10"/>
  <c r="AX188" i="10"/>
  <c r="AX187" i="10"/>
  <c r="AX186" i="10"/>
  <c r="AX185" i="10"/>
  <c r="AX184" i="10"/>
  <c r="AX183" i="10"/>
  <c r="AX182" i="10"/>
  <c r="AX181" i="10"/>
  <c r="AU192" i="10"/>
  <c r="AU191" i="10"/>
  <c r="AU190" i="10"/>
  <c r="AU189" i="10"/>
  <c r="AU188" i="10"/>
  <c r="AU187" i="10"/>
  <c r="AU186" i="10"/>
  <c r="AU185" i="10"/>
  <c r="AU184" i="10"/>
  <c r="AU183" i="10"/>
  <c r="AU182" i="10"/>
  <c r="AU181" i="10"/>
  <c r="AR192" i="10"/>
  <c r="AR191" i="10"/>
  <c r="AR190" i="10"/>
  <c r="AR189" i="10"/>
  <c r="AR188" i="10"/>
  <c r="AR187" i="10"/>
  <c r="AR186" i="10"/>
  <c r="AR185" i="10"/>
  <c r="AR184" i="10"/>
  <c r="AR183" i="10"/>
  <c r="AR182" i="10"/>
  <c r="AR181" i="10"/>
  <c r="BA177" i="10"/>
  <c r="BA176" i="10"/>
  <c r="BA175" i="10"/>
  <c r="BA174" i="10"/>
  <c r="BA173" i="10"/>
  <c r="BA172" i="10"/>
  <c r="BA171" i="10"/>
  <c r="BA170" i="10"/>
  <c r="BA169" i="10"/>
  <c r="BA168" i="10"/>
  <c r="BA167" i="10"/>
  <c r="BA166" i="10"/>
  <c r="AX177" i="10"/>
  <c r="AX176" i="10"/>
  <c r="AX175" i="10"/>
  <c r="AX174" i="10"/>
  <c r="AX173" i="10"/>
  <c r="AX172" i="10"/>
  <c r="AX171" i="10"/>
  <c r="AX170" i="10"/>
  <c r="AX169" i="10"/>
  <c r="AX168" i="10"/>
  <c r="AX167" i="10"/>
  <c r="AX166" i="10"/>
  <c r="AU177" i="10"/>
  <c r="AU176" i="10"/>
  <c r="AU175" i="10"/>
  <c r="AU174" i="10"/>
  <c r="AT174" i="10"/>
  <c r="AU173" i="10"/>
  <c r="AU172" i="10"/>
  <c r="AU171" i="10"/>
  <c r="AU170" i="10"/>
  <c r="AU169" i="10"/>
  <c r="AU168" i="10"/>
  <c r="AU167" i="10"/>
  <c r="AU166" i="10"/>
  <c r="AR177" i="10"/>
  <c r="AR176" i="10"/>
  <c r="AR175" i="10"/>
  <c r="AR174" i="10"/>
  <c r="AR173" i="10"/>
  <c r="AR172" i="10"/>
  <c r="AR171" i="10"/>
  <c r="AR170" i="10"/>
  <c r="AR169" i="10"/>
  <c r="AR168" i="10"/>
  <c r="AR167" i="10"/>
  <c r="AR166" i="10"/>
  <c r="BA162" i="10"/>
  <c r="BA161" i="10"/>
  <c r="BA160" i="10"/>
  <c r="BA159" i="10"/>
  <c r="BA158" i="10"/>
  <c r="BA157" i="10"/>
  <c r="BA156" i="10"/>
  <c r="BA155" i="10"/>
  <c r="BA154" i="10"/>
  <c r="BA153" i="10"/>
  <c r="BA152" i="10"/>
  <c r="BA151" i="10"/>
  <c r="AX162" i="10"/>
  <c r="AX161" i="10"/>
  <c r="AX160" i="10"/>
  <c r="AX159" i="10"/>
  <c r="AX158" i="10"/>
  <c r="AX157" i="10"/>
  <c r="AX156" i="10"/>
  <c r="AX155" i="10"/>
  <c r="AX154" i="10"/>
  <c r="AX153" i="10"/>
  <c r="AX152" i="10"/>
  <c r="AX151" i="10"/>
  <c r="AU162" i="10"/>
  <c r="AU161" i="10"/>
  <c r="AU160" i="10"/>
  <c r="AU159" i="10"/>
  <c r="AU158" i="10"/>
  <c r="AU157" i="10"/>
  <c r="AU156" i="10"/>
  <c r="AU155" i="10"/>
  <c r="AU154" i="10"/>
  <c r="AU153" i="10"/>
  <c r="AU152" i="10"/>
  <c r="AU151" i="10"/>
  <c r="AR162" i="10"/>
  <c r="AR161" i="10"/>
  <c r="AR160" i="10"/>
  <c r="AR159" i="10"/>
  <c r="AR158" i="10"/>
  <c r="AR157" i="10"/>
  <c r="AR156" i="10"/>
  <c r="AR155" i="10"/>
  <c r="AR154" i="10"/>
  <c r="AR153" i="10"/>
  <c r="AR152" i="10"/>
  <c r="AR151" i="10"/>
  <c r="BA147" i="10"/>
  <c r="BA146" i="10"/>
  <c r="BA145" i="10"/>
  <c r="BA144" i="10"/>
  <c r="BA143" i="10"/>
  <c r="BA142" i="10"/>
  <c r="BA141" i="10"/>
  <c r="BA140" i="10"/>
  <c r="BA139" i="10"/>
  <c r="BA138" i="10"/>
  <c r="AZ138" i="10"/>
  <c r="BA137" i="10"/>
  <c r="AZ137" i="10"/>
  <c r="BA136" i="10"/>
  <c r="AX147" i="10"/>
  <c r="AX146" i="10"/>
  <c r="AX145" i="10"/>
  <c r="AX144" i="10"/>
  <c r="AX143" i="10"/>
  <c r="AX142" i="10"/>
  <c r="AX141" i="10"/>
  <c r="AX140" i="10"/>
  <c r="AX139" i="10"/>
  <c r="AX138" i="10"/>
  <c r="AW138" i="10"/>
  <c r="AX137" i="10"/>
  <c r="AX136" i="10"/>
  <c r="AU147" i="10"/>
  <c r="AU146" i="10"/>
  <c r="AU145" i="10"/>
  <c r="AU144" i="10"/>
  <c r="AU143" i="10"/>
  <c r="AU142" i="10"/>
  <c r="AU141" i="10"/>
  <c r="AU140" i="10"/>
  <c r="AU139" i="10"/>
  <c r="AU138" i="10"/>
  <c r="AU137" i="10"/>
  <c r="AU136" i="10"/>
  <c r="AR147" i="10"/>
  <c r="AR146" i="10"/>
  <c r="AR145" i="10"/>
  <c r="AR144" i="10"/>
  <c r="AR143" i="10"/>
  <c r="AR142" i="10"/>
  <c r="AR141" i="10"/>
  <c r="AR140" i="10"/>
  <c r="AR139" i="10"/>
  <c r="AR138" i="10"/>
  <c r="AR137" i="10"/>
  <c r="AR136" i="10"/>
  <c r="BA131" i="10"/>
  <c r="BA130" i="10"/>
  <c r="BA129" i="10"/>
  <c r="BA128" i="10"/>
  <c r="BA127" i="10"/>
  <c r="BA126" i="10"/>
  <c r="BA125" i="10"/>
  <c r="BA124" i="10"/>
  <c r="BA123" i="10"/>
  <c r="BA122" i="10"/>
  <c r="BA121" i="10"/>
  <c r="BA120" i="10"/>
  <c r="AX131" i="10"/>
  <c r="AX130" i="10"/>
  <c r="AX129" i="10"/>
  <c r="AX128" i="10"/>
  <c r="AX127" i="10"/>
  <c r="AX126" i="10"/>
  <c r="AX125" i="10"/>
  <c r="AX124" i="10"/>
  <c r="AX123" i="10"/>
  <c r="AX122" i="10"/>
  <c r="AX121" i="10"/>
  <c r="AX120" i="10"/>
  <c r="AU131" i="10"/>
  <c r="AU130" i="10"/>
  <c r="AU129" i="10"/>
  <c r="AU128" i="10"/>
  <c r="AU127" i="10"/>
  <c r="AU126" i="10"/>
  <c r="AU125" i="10"/>
  <c r="AU124" i="10"/>
  <c r="AU123" i="10"/>
  <c r="AU122" i="10"/>
  <c r="AU121" i="10"/>
  <c r="AU120" i="10"/>
  <c r="AR131" i="10"/>
  <c r="AR130" i="10"/>
  <c r="AR129" i="10"/>
  <c r="AR128" i="10"/>
  <c r="AQ128" i="10"/>
  <c r="AR127" i="10"/>
  <c r="AR126" i="10"/>
  <c r="AR125" i="10"/>
  <c r="AR124" i="10"/>
  <c r="AR123" i="10"/>
  <c r="AR122" i="10"/>
  <c r="AR121" i="10"/>
  <c r="AR120" i="10"/>
  <c r="BA115" i="10"/>
  <c r="BA114" i="10"/>
  <c r="BA113" i="10"/>
  <c r="BA112" i="10"/>
  <c r="BA111" i="10"/>
  <c r="BA110" i="10"/>
  <c r="BA109" i="10"/>
  <c r="BA108" i="10"/>
  <c r="BA107" i="10"/>
  <c r="BA106" i="10"/>
  <c r="BA105" i="10"/>
  <c r="BA104" i="10"/>
  <c r="AX115" i="10"/>
  <c r="AX114" i="10"/>
  <c r="AX113" i="10"/>
  <c r="AX112" i="10"/>
  <c r="AX111" i="10"/>
  <c r="AX110" i="10"/>
  <c r="AX109" i="10"/>
  <c r="AX108" i="10"/>
  <c r="AX107" i="10"/>
  <c r="AX106" i="10"/>
  <c r="AX105" i="10"/>
  <c r="AX104" i="10"/>
  <c r="AU115" i="10"/>
  <c r="AU114" i="10"/>
  <c r="AU113" i="10"/>
  <c r="AU112" i="10"/>
  <c r="AU111" i="10"/>
  <c r="AU110" i="10"/>
  <c r="AU109" i="10"/>
  <c r="AU108" i="10"/>
  <c r="AU107" i="10"/>
  <c r="AU106" i="10"/>
  <c r="BG106" i="10" s="1"/>
  <c r="AU105" i="10"/>
  <c r="AU104" i="10"/>
  <c r="AR115" i="10"/>
  <c r="AR114" i="10"/>
  <c r="AR113" i="10"/>
  <c r="AR112" i="10"/>
  <c r="AR111" i="10"/>
  <c r="AR110" i="10"/>
  <c r="AR109" i="10"/>
  <c r="AR108" i="10"/>
  <c r="AR107" i="10"/>
  <c r="AR106" i="10"/>
  <c r="AR105" i="10"/>
  <c r="AR104" i="10"/>
  <c r="BA98" i="10"/>
  <c r="BA97" i="10"/>
  <c r="BA96" i="10"/>
  <c r="BA95" i="10"/>
  <c r="BA94" i="10"/>
  <c r="BA93" i="10"/>
  <c r="BA92" i="10"/>
  <c r="BA91" i="10"/>
  <c r="BA90" i="10"/>
  <c r="BA89" i="10"/>
  <c r="AZ89" i="10"/>
  <c r="BA88" i="10"/>
  <c r="BA87" i="10"/>
  <c r="AX98" i="10"/>
  <c r="AX97" i="10"/>
  <c r="AX96" i="10"/>
  <c r="AX95" i="10"/>
  <c r="AX94" i="10"/>
  <c r="AX93" i="10"/>
  <c r="AX92" i="10"/>
  <c r="AX91" i="10"/>
  <c r="AX90" i="10"/>
  <c r="AX89" i="10"/>
  <c r="AX88" i="10"/>
  <c r="AX87" i="10"/>
  <c r="AU98" i="10"/>
  <c r="AU97" i="10"/>
  <c r="AU96" i="10"/>
  <c r="AU95" i="10"/>
  <c r="AU94" i="10"/>
  <c r="AT94" i="10"/>
  <c r="AU93" i="10"/>
  <c r="AU92" i="10"/>
  <c r="AU91" i="10"/>
  <c r="AU90" i="10"/>
  <c r="AU89" i="10"/>
  <c r="AU88" i="10"/>
  <c r="AU87" i="10"/>
  <c r="AR98" i="10"/>
  <c r="AR97" i="10"/>
  <c r="AR96" i="10"/>
  <c r="AR95" i="10"/>
  <c r="AR94" i="10"/>
  <c r="AR93" i="10"/>
  <c r="AR92" i="10"/>
  <c r="AR91" i="10"/>
  <c r="AR90" i="10"/>
  <c r="AR89" i="10"/>
  <c r="AR88" i="10"/>
  <c r="AR87" i="10"/>
  <c r="BA82" i="10"/>
  <c r="BA81" i="10"/>
  <c r="BA80" i="10"/>
  <c r="BA79" i="10"/>
  <c r="BA78" i="10"/>
  <c r="BA77" i="10"/>
  <c r="BA76" i="10"/>
  <c r="BA75" i="10"/>
  <c r="BA74" i="10"/>
  <c r="BA73" i="10"/>
  <c r="BA72" i="10"/>
  <c r="BA71" i="10"/>
  <c r="AX82" i="10"/>
  <c r="AX81" i="10"/>
  <c r="AX80" i="10"/>
  <c r="AX79" i="10"/>
  <c r="AX78" i="10"/>
  <c r="AX77" i="10"/>
  <c r="AX76" i="10"/>
  <c r="AX75" i="10"/>
  <c r="AX74" i="10"/>
  <c r="AX73" i="10"/>
  <c r="AX72" i="10"/>
  <c r="AX71" i="10"/>
  <c r="AU82" i="10"/>
  <c r="AU81" i="10"/>
  <c r="AU80" i="10"/>
  <c r="AU79" i="10"/>
  <c r="AU78" i="10"/>
  <c r="AU77" i="10"/>
  <c r="AU76" i="10"/>
  <c r="AU75" i="10"/>
  <c r="AU74" i="10"/>
  <c r="AU73" i="10"/>
  <c r="AU72" i="10"/>
  <c r="AU71" i="10"/>
  <c r="AR82" i="10"/>
  <c r="AR81" i="10"/>
  <c r="AR80" i="10"/>
  <c r="AR79" i="10"/>
  <c r="AR78" i="10"/>
  <c r="AR77" i="10"/>
  <c r="AR76" i="10"/>
  <c r="AR75" i="10"/>
  <c r="AR74" i="10"/>
  <c r="AR73" i="10"/>
  <c r="AR72" i="10"/>
  <c r="AR71" i="10"/>
  <c r="BA67" i="10"/>
  <c r="BA66" i="10"/>
  <c r="BA65" i="10"/>
  <c r="BA64" i="10"/>
  <c r="BA63" i="10"/>
  <c r="BA62" i="10"/>
  <c r="BA61" i="10"/>
  <c r="BA60" i="10"/>
  <c r="BA59" i="10"/>
  <c r="BA58" i="10"/>
  <c r="BA57" i="10"/>
  <c r="BA56" i="10"/>
  <c r="AZ56" i="10"/>
  <c r="AX67" i="10"/>
  <c r="AX66" i="10"/>
  <c r="AX65" i="10"/>
  <c r="AX64" i="10"/>
  <c r="AX63" i="10"/>
  <c r="AX62" i="10"/>
  <c r="AX61" i="10"/>
  <c r="AX60" i="10"/>
  <c r="AX59" i="10"/>
  <c r="AX58" i="10"/>
  <c r="AW58" i="10"/>
  <c r="AX57" i="10"/>
  <c r="AX56" i="10"/>
  <c r="AU67" i="10"/>
  <c r="AU66" i="10"/>
  <c r="AU65" i="10"/>
  <c r="AU64" i="10"/>
  <c r="AU63" i="10"/>
  <c r="AU62" i="10"/>
  <c r="AU61" i="10"/>
  <c r="AU60" i="10"/>
  <c r="AU59" i="10"/>
  <c r="AU58" i="10"/>
  <c r="AU57" i="10"/>
  <c r="AU56" i="10"/>
  <c r="AR67" i="10"/>
  <c r="AR66" i="10"/>
  <c r="AR65" i="10"/>
  <c r="AR64" i="10"/>
  <c r="AR63" i="10"/>
  <c r="AR62" i="10"/>
  <c r="AR61" i="10"/>
  <c r="AR60" i="10"/>
  <c r="AR59" i="10"/>
  <c r="AR58" i="10"/>
  <c r="BE58" i="10" s="1"/>
  <c r="AQ58" i="10"/>
  <c r="AR57" i="10"/>
  <c r="AR56" i="10"/>
  <c r="BA52" i="10"/>
  <c r="BA51" i="10"/>
  <c r="BA50" i="10"/>
  <c r="BA49" i="10"/>
  <c r="BA48" i="10"/>
  <c r="BA47" i="10"/>
  <c r="BA46" i="10"/>
  <c r="BA45" i="10"/>
  <c r="BA44" i="10"/>
  <c r="BA43" i="10"/>
  <c r="BA42" i="10"/>
  <c r="BA41" i="10"/>
  <c r="AX52" i="10"/>
  <c r="AX51" i="10"/>
  <c r="AX50" i="10"/>
  <c r="AX49" i="10"/>
  <c r="AX48" i="10"/>
  <c r="AX47" i="10"/>
  <c r="AW47" i="10"/>
  <c r="AX46" i="10"/>
  <c r="AX45" i="10"/>
  <c r="AX44" i="10"/>
  <c r="AX43" i="10"/>
  <c r="AX42" i="10"/>
  <c r="AX41" i="10"/>
  <c r="AU52" i="10"/>
  <c r="AU51" i="10"/>
  <c r="AU50" i="10"/>
  <c r="AU49" i="10"/>
  <c r="AU48" i="10"/>
  <c r="AU47" i="10"/>
  <c r="AU46" i="10"/>
  <c r="AU45" i="10"/>
  <c r="AU44" i="10"/>
  <c r="AU43" i="10"/>
  <c r="AU42" i="10"/>
  <c r="AU41" i="10"/>
  <c r="AR52" i="10"/>
  <c r="AR51" i="10"/>
  <c r="AR50" i="10"/>
  <c r="AR49" i="10"/>
  <c r="AR48" i="10"/>
  <c r="AR47" i="10"/>
  <c r="AR46" i="10"/>
  <c r="AR45" i="10"/>
  <c r="AR44" i="10"/>
  <c r="AR43" i="10"/>
  <c r="AR42" i="10"/>
  <c r="AR41" i="10"/>
  <c r="BA37" i="10"/>
  <c r="BA36" i="10"/>
  <c r="BA35" i="10"/>
  <c r="BA34" i="10"/>
  <c r="BA33" i="10"/>
  <c r="BA32" i="10"/>
  <c r="BA31" i="10"/>
  <c r="BA30" i="10"/>
  <c r="BA29" i="10"/>
  <c r="BA28" i="10"/>
  <c r="BA27" i="10"/>
  <c r="BA26" i="10"/>
  <c r="AX37" i="10"/>
  <c r="AX36" i="10"/>
  <c r="AX35" i="10"/>
  <c r="AX34" i="10"/>
  <c r="AX33" i="10"/>
  <c r="AX32" i="10"/>
  <c r="AX31" i="10"/>
  <c r="AX30" i="10"/>
  <c r="AX29" i="10"/>
  <c r="AX28" i="10"/>
  <c r="AX27" i="10"/>
  <c r="AX26" i="10"/>
  <c r="AU37" i="10"/>
  <c r="AU36" i="10"/>
  <c r="AU35" i="10"/>
  <c r="AU34" i="10"/>
  <c r="AU33" i="10"/>
  <c r="AU32" i="10"/>
  <c r="AU31" i="10"/>
  <c r="AU30" i="10"/>
  <c r="AU29" i="10"/>
  <c r="AU28" i="10"/>
  <c r="AU27" i="10"/>
  <c r="AU26" i="10"/>
  <c r="AR37" i="10"/>
  <c r="AR36" i="10"/>
  <c r="AR35" i="10"/>
  <c r="AR34" i="10"/>
  <c r="AR33" i="10"/>
  <c r="AR32" i="10"/>
  <c r="AR31" i="10"/>
  <c r="AR30" i="10"/>
  <c r="AR29" i="10"/>
  <c r="AR28" i="10"/>
  <c r="AQ28" i="10"/>
  <c r="AR27" i="10"/>
  <c r="AR26" i="10"/>
  <c r="BA22" i="10"/>
  <c r="BA21" i="10"/>
  <c r="BA20" i="10"/>
  <c r="BA19" i="10"/>
  <c r="BA18" i="10"/>
  <c r="BA17" i="10"/>
  <c r="BA16" i="10"/>
  <c r="AZ16" i="10"/>
  <c r="BA15" i="10"/>
  <c r="BA14" i="10"/>
  <c r="BA13" i="10"/>
  <c r="BA12" i="10"/>
  <c r="BA11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U22" i="10"/>
  <c r="AU21" i="10"/>
  <c r="AU20" i="10"/>
  <c r="AU19" i="10"/>
  <c r="AU18" i="10"/>
  <c r="AU17" i="10"/>
  <c r="AU16" i="10"/>
  <c r="AU15" i="10"/>
  <c r="AU14" i="10"/>
  <c r="AU13" i="10"/>
  <c r="AU12" i="10"/>
  <c r="AU11" i="10"/>
  <c r="AQ17" i="10"/>
  <c r="AQ19" i="10"/>
  <c r="AR20" i="10"/>
  <c r="AR12" i="10"/>
  <c r="AR13" i="10"/>
  <c r="AR14" i="10"/>
  <c r="AR15" i="10"/>
  <c r="AR16" i="10"/>
  <c r="AR17" i="10"/>
  <c r="AR18" i="10"/>
  <c r="AR19" i="10"/>
  <c r="AR21" i="10"/>
  <c r="AR22" i="10"/>
  <c r="AR11" i="10"/>
  <c r="U267" i="10"/>
  <c r="BK267" i="10" s="1"/>
  <c r="U266" i="10"/>
  <c r="BK266" i="10" s="1"/>
  <c r="U265" i="10"/>
  <c r="BK265" i="10" s="1"/>
  <c r="U264" i="10"/>
  <c r="BK264" i="10" s="1"/>
  <c r="U263" i="10"/>
  <c r="U262" i="10"/>
  <c r="U261" i="10"/>
  <c r="U260" i="10"/>
  <c r="U259" i="10"/>
  <c r="U258" i="10"/>
  <c r="U257" i="10"/>
  <c r="U256" i="10"/>
  <c r="R267" i="10"/>
  <c r="R266" i="10"/>
  <c r="BI266" i="10" s="1"/>
  <c r="R265" i="10"/>
  <c r="BI265" i="10" s="1"/>
  <c r="R264" i="10"/>
  <c r="R263" i="10"/>
  <c r="R262" i="10"/>
  <c r="R261" i="10"/>
  <c r="R260" i="10"/>
  <c r="R259" i="10"/>
  <c r="R258" i="10"/>
  <c r="R257" i="10"/>
  <c r="R256" i="10"/>
  <c r="BI256" i="10" s="1"/>
  <c r="O267" i="10"/>
  <c r="BG267" i="10" s="1"/>
  <c r="O266" i="10"/>
  <c r="O265" i="10"/>
  <c r="O264" i="10"/>
  <c r="O263" i="10"/>
  <c r="O262" i="10"/>
  <c r="O261" i="10"/>
  <c r="O260" i="10"/>
  <c r="O259" i="10"/>
  <c r="O258" i="10"/>
  <c r="O257" i="10"/>
  <c r="O256" i="10"/>
  <c r="BG256" i="10" s="1"/>
  <c r="L267" i="10"/>
  <c r="BE267" i="10" s="1"/>
  <c r="L266" i="10"/>
  <c r="BE266" i="10" s="1"/>
  <c r="L265" i="10"/>
  <c r="BE265" i="10" s="1"/>
  <c r="L264" i="10"/>
  <c r="L263" i="10"/>
  <c r="L262" i="10"/>
  <c r="L261" i="10"/>
  <c r="L260" i="10"/>
  <c r="L259" i="10"/>
  <c r="L258" i="10"/>
  <c r="L257" i="10"/>
  <c r="L256" i="10"/>
  <c r="BE256" i="10" s="1"/>
  <c r="U252" i="10"/>
  <c r="BK252" i="10" s="1"/>
  <c r="U251" i="10"/>
  <c r="BK251" i="10" s="1"/>
  <c r="U250" i="10"/>
  <c r="BK250" i="10" s="1"/>
  <c r="U249" i="10"/>
  <c r="U248" i="10"/>
  <c r="U247" i="10"/>
  <c r="U246" i="10"/>
  <c r="U245" i="10"/>
  <c r="U244" i="10"/>
  <c r="U243" i="10"/>
  <c r="U242" i="10"/>
  <c r="U241" i="10"/>
  <c r="R252" i="10"/>
  <c r="BI252" i="10" s="1"/>
  <c r="R251" i="10"/>
  <c r="BI251" i="10" s="1"/>
  <c r="R250" i="10"/>
  <c r="R249" i="10"/>
  <c r="R248" i="10"/>
  <c r="BI248" i="10" s="1"/>
  <c r="R247" i="10"/>
  <c r="BI247" i="10" s="1"/>
  <c r="R246" i="10"/>
  <c r="R245" i="10"/>
  <c r="R244" i="10"/>
  <c r="R243" i="10"/>
  <c r="R242" i="10"/>
  <c r="R241" i="10"/>
  <c r="BI241" i="10" s="1"/>
  <c r="O252" i="10"/>
  <c r="BG252" i="10" s="1"/>
  <c r="O251" i="10"/>
  <c r="BG251" i="10" s="1"/>
  <c r="O250" i="10"/>
  <c r="O249" i="10"/>
  <c r="O248" i="10"/>
  <c r="BG248" i="10" s="1"/>
  <c r="O247" i="10"/>
  <c r="O246" i="10"/>
  <c r="O245" i="10"/>
  <c r="O244" i="10"/>
  <c r="O243" i="10"/>
  <c r="O242" i="10"/>
  <c r="O241" i="10"/>
  <c r="L252" i="10"/>
  <c r="BE252" i="10" s="1"/>
  <c r="L251" i="10"/>
  <c r="BE251" i="10" s="1"/>
  <c r="L250" i="10"/>
  <c r="L249" i="10"/>
  <c r="L248" i="10"/>
  <c r="L247" i="10"/>
  <c r="BE247" i="10" s="1"/>
  <c r="L246" i="10"/>
  <c r="L245" i="10"/>
  <c r="L244" i="10"/>
  <c r="L243" i="10"/>
  <c r="L242" i="10"/>
  <c r="L241" i="10"/>
  <c r="U237" i="10"/>
  <c r="U236" i="10"/>
  <c r="BK236" i="10" s="1"/>
  <c r="U235" i="10"/>
  <c r="U234" i="10"/>
  <c r="BK234" i="10" s="1"/>
  <c r="U233" i="10"/>
  <c r="U232" i="10"/>
  <c r="U231" i="10"/>
  <c r="U230" i="10"/>
  <c r="U229" i="10"/>
  <c r="U228" i="10"/>
  <c r="U227" i="10"/>
  <c r="U226" i="10"/>
  <c r="R237" i="10"/>
  <c r="R236" i="10"/>
  <c r="BI236" i="10" s="1"/>
  <c r="R235" i="10"/>
  <c r="BI235" i="10" s="1"/>
  <c r="R234" i="10"/>
  <c r="R233" i="10"/>
  <c r="R232" i="10"/>
  <c r="R231" i="10"/>
  <c r="R230" i="10"/>
  <c r="BI230" i="10" s="1"/>
  <c r="R229" i="10"/>
  <c r="BI229" i="10" s="1"/>
  <c r="R228" i="10"/>
  <c r="R227" i="10"/>
  <c r="R226" i="10"/>
  <c r="BI226" i="10" s="1"/>
  <c r="O237" i="10"/>
  <c r="O236" i="10"/>
  <c r="O235" i="10"/>
  <c r="O234" i="10"/>
  <c r="O233" i="10"/>
  <c r="O232" i="10"/>
  <c r="O231" i="10"/>
  <c r="O230" i="10"/>
  <c r="BG230" i="10" s="1"/>
  <c r="O229" i="10"/>
  <c r="BG229" i="10" s="1"/>
  <c r="O228" i="10"/>
  <c r="BG228" i="10" s="1"/>
  <c r="O227" i="10"/>
  <c r="O226" i="10"/>
  <c r="L237" i="10"/>
  <c r="L236" i="10"/>
  <c r="L235" i="10"/>
  <c r="L234" i="10"/>
  <c r="L233" i="10"/>
  <c r="L232" i="10"/>
  <c r="BE232" i="10" s="1"/>
  <c r="L231" i="10"/>
  <c r="BE231" i="10" s="1"/>
  <c r="L230" i="10"/>
  <c r="L229" i="10"/>
  <c r="L228" i="10"/>
  <c r="BE228" i="10" s="1"/>
  <c r="L227" i="10"/>
  <c r="L226" i="10"/>
  <c r="U222" i="10"/>
  <c r="U221" i="10"/>
  <c r="BK221" i="10" s="1"/>
  <c r="U220" i="10"/>
  <c r="U219" i="10"/>
  <c r="U218" i="10"/>
  <c r="U217" i="10"/>
  <c r="U216" i="10"/>
  <c r="U215" i="10"/>
  <c r="U214" i="10"/>
  <c r="U213" i="10"/>
  <c r="U212" i="10"/>
  <c r="U211" i="10"/>
  <c r="BK211" i="10" s="1"/>
  <c r="R222" i="10"/>
  <c r="BI222" i="10" s="1"/>
  <c r="R221" i="10"/>
  <c r="BI221" i="10" s="1"/>
  <c r="R220" i="10"/>
  <c r="R219" i="10"/>
  <c r="R218" i="10"/>
  <c r="R217" i="10"/>
  <c r="R216" i="10"/>
  <c r="R215" i="10"/>
  <c r="R214" i="10"/>
  <c r="R213" i="10"/>
  <c r="R212" i="10"/>
  <c r="R211" i="10"/>
  <c r="O222" i="10"/>
  <c r="BG222" i="10" s="1"/>
  <c r="O221" i="10"/>
  <c r="BG221" i="10" s="1"/>
  <c r="O220" i="10"/>
  <c r="O219" i="10"/>
  <c r="O218" i="10"/>
  <c r="O217" i="10"/>
  <c r="O216" i="10"/>
  <c r="O215" i="10"/>
  <c r="BG215" i="10" s="1"/>
  <c r="O214" i="10"/>
  <c r="BG214" i="10" s="1"/>
  <c r="O213" i="10"/>
  <c r="O212" i="10"/>
  <c r="O211" i="10"/>
  <c r="BG211" i="10" s="1"/>
  <c r="L222" i="10"/>
  <c r="L221" i="10"/>
  <c r="L220" i="10"/>
  <c r="L219" i="10"/>
  <c r="L218" i="10"/>
  <c r="BE218" i="10" s="1"/>
  <c r="L217" i="10"/>
  <c r="L216" i="10"/>
  <c r="BE216" i="10" s="1"/>
  <c r="L215" i="10"/>
  <c r="BE215" i="10" s="1"/>
  <c r="L214" i="10"/>
  <c r="BE214" i="10" s="1"/>
  <c r="L213" i="10"/>
  <c r="L212" i="10"/>
  <c r="L211" i="10"/>
  <c r="U207" i="10"/>
  <c r="U206" i="10"/>
  <c r="U205" i="10"/>
  <c r="U204" i="10"/>
  <c r="U203" i="10"/>
  <c r="U202" i="10"/>
  <c r="U201" i="10"/>
  <c r="U200" i="10"/>
  <c r="U199" i="10"/>
  <c r="U198" i="10"/>
  <c r="U197" i="10"/>
  <c r="U196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O207" i="10"/>
  <c r="BG207" i="10" s="1"/>
  <c r="O206" i="10"/>
  <c r="O205" i="10"/>
  <c r="BG205" i="10" s="1"/>
  <c r="O204" i="10"/>
  <c r="BG204" i="10" s="1"/>
  <c r="O203" i="10"/>
  <c r="O202" i="10"/>
  <c r="O201" i="10"/>
  <c r="O200" i="10"/>
  <c r="O199" i="10"/>
  <c r="O198" i="10"/>
  <c r="O197" i="10"/>
  <c r="O196" i="10"/>
  <c r="BG196" i="10" s="1"/>
  <c r="L207" i="10"/>
  <c r="BE207" i="10" s="1"/>
  <c r="L206" i="10"/>
  <c r="L205" i="10"/>
  <c r="BE205" i="10" s="1"/>
  <c r="L204" i="10"/>
  <c r="L203" i="10"/>
  <c r="L202" i="10"/>
  <c r="BE202" i="10" s="1"/>
  <c r="L201" i="10"/>
  <c r="L200" i="10"/>
  <c r="L199" i="10"/>
  <c r="L198" i="10"/>
  <c r="L197" i="10"/>
  <c r="L196" i="10"/>
  <c r="BE196" i="10" s="1"/>
  <c r="U192" i="10"/>
  <c r="U191" i="10"/>
  <c r="BK191" i="10" s="1"/>
  <c r="U190" i="10"/>
  <c r="BK190" i="10" s="1"/>
  <c r="U189" i="10"/>
  <c r="U188" i="10"/>
  <c r="U187" i="10"/>
  <c r="U186" i="10"/>
  <c r="U185" i="10"/>
  <c r="U184" i="10"/>
  <c r="U183" i="10"/>
  <c r="U182" i="10"/>
  <c r="U181" i="10"/>
  <c r="BK181" i="10" s="1"/>
  <c r="R192" i="10"/>
  <c r="R191" i="10"/>
  <c r="R190" i="10"/>
  <c r="R189" i="10"/>
  <c r="R188" i="10"/>
  <c r="BI188" i="10" s="1"/>
  <c r="R187" i="10"/>
  <c r="BI187" i="10" s="1"/>
  <c r="R186" i="10"/>
  <c r="R185" i="10"/>
  <c r="R184" i="10"/>
  <c r="R183" i="10"/>
  <c r="R182" i="10"/>
  <c r="R181" i="10"/>
  <c r="O192" i="10"/>
  <c r="O191" i="10"/>
  <c r="O190" i="10"/>
  <c r="BG190" i="10" s="1"/>
  <c r="O189" i="10"/>
  <c r="O188" i="10"/>
  <c r="O187" i="10"/>
  <c r="O186" i="10"/>
  <c r="O185" i="10"/>
  <c r="O184" i="10"/>
  <c r="O183" i="10"/>
  <c r="O182" i="10"/>
  <c r="O181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BE181" i="10" s="1"/>
  <c r="U177" i="10"/>
  <c r="BK177" i="10" s="1"/>
  <c r="U176" i="10"/>
  <c r="BK176" i="10" s="1"/>
  <c r="U175" i="10"/>
  <c r="BK175" i="10" s="1"/>
  <c r="U174" i="10"/>
  <c r="U173" i="10"/>
  <c r="U172" i="10"/>
  <c r="U171" i="10"/>
  <c r="U170" i="10"/>
  <c r="U169" i="10"/>
  <c r="U168" i="10"/>
  <c r="U167" i="10"/>
  <c r="U166" i="10"/>
  <c r="BK166" i="10" s="1"/>
  <c r="C63" i="9" s="1"/>
  <c r="R177" i="10"/>
  <c r="BI177" i="10" s="1"/>
  <c r="R176" i="10"/>
  <c r="R175" i="10"/>
  <c r="BI175" i="10" s="1"/>
  <c r="R174" i="10"/>
  <c r="R173" i="10"/>
  <c r="R172" i="10"/>
  <c r="R171" i="10"/>
  <c r="R170" i="10"/>
  <c r="R169" i="10"/>
  <c r="R168" i="10"/>
  <c r="R167" i="10"/>
  <c r="R166" i="10"/>
  <c r="O177" i="10"/>
  <c r="BG177" i="10" s="1"/>
  <c r="O176" i="10"/>
  <c r="BG176" i="10" s="1"/>
  <c r="O175" i="10"/>
  <c r="BG175" i="10" s="1"/>
  <c r="O174" i="10"/>
  <c r="O173" i="10"/>
  <c r="O172" i="10"/>
  <c r="O171" i="10"/>
  <c r="O170" i="10"/>
  <c r="BG170" i="10" s="1"/>
  <c r="O169" i="10"/>
  <c r="BG169" i="10" s="1"/>
  <c r="O168" i="10"/>
  <c r="O167" i="10"/>
  <c r="O166" i="10"/>
  <c r="L177" i="10"/>
  <c r="L176" i="10"/>
  <c r="L175" i="10"/>
  <c r="L174" i="10"/>
  <c r="L173" i="10"/>
  <c r="L172" i="10"/>
  <c r="BE172" i="10" s="1"/>
  <c r="L171" i="10"/>
  <c r="BE171" i="10" s="1"/>
  <c r="L170" i="10"/>
  <c r="L169" i="10"/>
  <c r="L168" i="10"/>
  <c r="L167" i="10"/>
  <c r="L166" i="10"/>
  <c r="U162" i="10"/>
  <c r="BK162" i="10" s="1"/>
  <c r="U161" i="10"/>
  <c r="BK161" i="10" s="1"/>
  <c r="U160" i="10"/>
  <c r="U159" i="10"/>
  <c r="BK159" i="10" s="1"/>
  <c r="U158" i="10"/>
  <c r="BK158" i="10" s="1"/>
  <c r="U157" i="10"/>
  <c r="U156" i="10"/>
  <c r="U155" i="10"/>
  <c r="U154" i="10"/>
  <c r="U153" i="10"/>
  <c r="U152" i="10"/>
  <c r="U151" i="10"/>
  <c r="BK151" i="10" s="1"/>
  <c r="R162" i="10"/>
  <c r="R161" i="10"/>
  <c r="R160" i="10"/>
  <c r="R159" i="10"/>
  <c r="R158" i="10"/>
  <c r="R157" i="10"/>
  <c r="R156" i="10"/>
  <c r="R155" i="10"/>
  <c r="R154" i="10"/>
  <c r="R153" i="10"/>
  <c r="R152" i="10"/>
  <c r="BI152" i="10" s="1"/>
  <c r="R151" i="10"/>
  <c r="BI151" i="10" s="1"/>
  <c r="O162" i="10"/>
  <c r="BG162" i="10" s="1"/>
  <c r="O161" i="10"/>
  <c r="O160" i="10"/>
  <c r="BG160" i="10" s="1"/>
  <c r="O159" i="10"/>
  <c r="O158" i="10"/>
  <c r="O157" i="10"/>
  <c r="O156" i="10"/>
  <c r="O155" i="10"/>
  <c r="O154" i="10"/>
  <c r="O153" i="10"/>
  <c r="BG153" i="10" s="1"/>
  <c r="O152" i="10"/>
  <c r="O151" i="10"/>
  <c r="BG151" i="10" s="1"/>
  <c r="L162" i="10"/>
  <c r="BE162" i="10" s="1"/>
  <c r="L161" i="10"/>
  <c r="L160" i="10"/>
  <c r="BE160" i="10" s="1"/>
  <c r="L159" i="10"/>
  <c r="L158" i="10"/>
  <c r="L157" i="10"/>
  <c r="L156" i="10"/>
  <c r="BE156" i="10" s="1"/>
  <c r="L155" i="10"/>
  <c r="BE155" i="10" s="1"/>
  <c r="L154" i="10"/>
  <c r="BE154" i="10" s="1"/>
  <c r="L153" i="10"/>
  <c r="L152" i="10"/>
  <c r="BE152" i="10" s="1"/>
  <c r="L151" i="10"/>
  <c r="BE151" i="10" s="1"/>
  <c r="U147" i="10"/>
  <c r="BK147" i="10" s="1"/>
  <c r="U146" i="10"/>
  <c r="BK146" i="10" s="1"/>
  <c r="U145" i="10"/>
  <c r="BK145" i="10" s="1"/>
  <c r="U144" i="10"/>
  <c r="U143" i="10"/>
  <c r="BK143" i="10" s="1"/>
  <c r="U142" i="10"/>
  <c r="U141" i="10"/>
  <c r="U140" i="10"/>
  <c r="BK140" i="10" s="1"/>
  <c r="U139" i="10"/>
  <c r="BK139" i="10" s="1"/>
  <c r="U138" i="10"/>
  <c r="U137" i="10"/>
  <c r="U136" i="10"/>
  <c r="R147" i="10"/>
  <c r="R146" i="10"/>
  <c r="BI146" i="10" s="1"/>
  <c r="R145" i="10"/>
  <c r="BI145" i="10" s="1"/>
  <c r="R144" i="10"/>
  <c r="BI144" i="10" s="1"/>
  <c r="R143" i="10"/>
  <c r="BI143" i="10" s="1"/>
  <c r="R142" i="10"/>
  <c r="BI142" i="10" s="1"/>
  <c r="R141" i="10"/>
  <c r="R140" i="10"/>
  <c r="R139" i="10"/>
  <c r="R138" i="10"/>
  <c r="R137" i="10"/>
  <c r="R136" i="10"/>
  <c r="BI136" i="10" s="1"/>
  <c r="O147" i="10"/>
  <c r="BG147" i="10" s="1"/>
  <c r="O146" i="10"/>
  <c r="O145" i="10"/>
  <c r="BG145" i="10" s="1"/>
  <c r="O144" i="10"/>
  <c r="BG144" i="10" s="1"/>
  <c r="O143" i="10"/>
  <c r="O142" i="10"/>
  <c r="O141" i="10"/>
  <c r="O140" i="10"/>
  <c r="O139" i="10"/>
  <c r="O138" i="10"/>
  <c r="BG138" i="10" s="1"/>
  <c r="O137" i="10"/>
  <c r="O136" i="10"/>
  <c r="BG136" i="10" s="1"/>
  <c r="L147" i="10"/>
  <c r="L146" i="10"/>
  <c r="BE146" i="10" s="1"/>
  <c r="L145" i="10"/>
  <c r="BE145" i="10" s="1"/>
  <c r="L144" i="10"/>
  <c r="L143" i="10"/>
  <c r="L142" i="10"/>
  <c r="L141" i="10"/>
  <c r="L140" i="10"/>
  <c r="L139" i="10"/>
  <c r="L138" i="10"/>
  <c r="L137" i="10"/>
  <c r="L136" i="10"/>
  <c r="U131" i="10"/>
  <c r="BK131" i="10" s="1"/>
  <c r="U130" i="10"/>
  <c r="BK130" i="10" s="1"/>
  <c r="U129" i="10"/>
  <c r="U128" i="10"/>
  <c r="U127" i="10"/>
  <c r="U126" i="10"/>
  <c r="U125" i="10"/>
  <c r="U124" i="10"/>
  <c r="U123" i="10"/>
  <c r="U122" i="10"/>
  <c r="U121" i="10"/>
  <c r="U120" i="10"/>
  <c r="R131" i="10"/>
  <c r="BI131" i="10" s="1"/>
  <c r="R130" i="10"/>
  <c r="BI130" i="10" s="1"/>
  <c r="R129" i="10"/>
  <c r="R128" i="10"/>
  <c r="R127" i="10"/>
  <c r="R126" i="10"/>
  <c r="R125" i="10"/>
  <c r="R124" i="10"/>
  <c r="R123" i="10"/>
  <c r="R122" i="10"/>
  <c r="R121" i="10"/>
  <c r="BI121" i="10" s="1"/>
  <c r="R120" i="10"/>
  <c r="BI120" i="10" s="1"/>
  <c r="O131" i="10"/>
  <c r="BG131" i="10" s="1"/>
  <c r="O130" i="10"/>
  <c r="BG130" i="10" s="1"/>
  <c r="O129" i="10"/>
  <c r="O128" i="10"/>
  <c r="O127" i="10"/>
  <c r="O126" i="10"/>
  <c r="O125" i="10"/>
  <c r="O124" i="10"/>
  <c r="O123" i="10"/>
  <c r="BG123" i="10" s="1"/>
  <c r="O122" i="10"/>
  <c r="O121" i="10"/>
  <c r="O120" i="10"/>
  <c r="L131" i="10"/>
  <c r="BE131" i="10" s="1"/>
  <c r="L130" i="10"/>
  <c r="BE130" i="10" s="1"/>
  <c r="L129" i="10"/>
  <c r="L128" i="10"/>
  <c r="L127" i="10"/>
  <c r="L126" i="10"/>
  <c r="L125" i="10"/>
  <c r="L124" i="10"/>
  <c r="L123" i="10"/>
  <c r="BE123" i="10" s="1"/>
  <c r="L122" i="10"/>
  <c r="L121" i="10"/>
  <c r="L120" i="10"/>
  <c r="U115" i="10"/>
  <c r="U114" i="10"/>
  <c r="U113" i="10"/>
  <c r="U112" i="10"/>
  <c r="U111" i="10"/>
  <c r="BK111" i="10" s="1"/>
  <c r="U110" i="10"/>
  <c r="BK110" i="10" s="1"/>
  <c r="U109" i="10"/>
  <c r="U108" i="10"/>
  <c r="U107" i="10"/>
  <c r="U106" i="10"/>
  <c r="U105" i="10"/>
  <c r="U104" i="10"/>
  <c r="R115" i="10"/>
  <c r="R114" i="10"/>
  <c r="R113" i="10"/>
  <c r="BI113" i="10" s="1"/>
  <c r="R112" i="10"/>
  <c r="R111" i="10"/>
  <c r="R110" i="10"/>
  <c r="R109" i="10"/>
  <c r="R108" i="10"/>
  <c r="R107" i="10"/>
  <c r="R106" i="10"/>
  <c r="R105" i="10"/>
  <c r="BI105" i="10" s="1"/>
  <c r="R104" i="10"/>
  <c r="O115" i="10"/>
  <c r="O114" i="10"/>
  <c r="BG114" i="10" s="1"/>
  <c r="O113" i="10"/>
  <c r="BG113" i="10" s="1"/>
  <c r="O112" i="10"/>
  <c r="O111" i="10"/>
  <c r="O110" i="10"/>
  <c r="O109" i="10"/>
  <c r="O108" i="10"/>
  <c r="O107" i="10"/>
  <c r="BG107" i="10" s="1"/>
  <c r="O106" i="10"/>
  <c r="O105" i="10"/>
  <c r="O104" i="10"/>
  <c r="L115" i="10"/>
  <c r="L114" i="10"/>
  <c r="L113" i="10"/>
  <c r="L112" i="10"/>
  <c r="L111" i="10"/>
  <c r="L110" i="10"/>
  <c r="BE110" i="10" s="1"/>
  <c r="L109" i="10"/>
  <c r="L108" i="10"/>
  <c r="BE108" i="10" s="1"/>
  <c r="L107" i="10"/>
  <c r="BE107" i="10" s="1"/>
  <c r="L106" i="10"/>
  <c r="L105" i="10"/>
  <c r="L104" i="10"/>
  <c r="U98" i="10"/>
  <c r="U97" i="10"/>
  <c r="BK97" i="10" s="1"/>
  <c r="U96" i="10"/>
  <c r="BK96" i="10" s="1"/>
  <c r="U95" i="10"/>
  <c r="BK95" i="10" s="1"/>
  <c r="U94" i="10"/>
  <c r="BK94" i="10" s="1"/>
  <c r="U93" i="10"/>
  <c r="U92" i="10"/>
  <c r="BK92" i="10" s="1"/>
  <c r="U91" i="10"/>
  <c r="U90" i="10"/>
  <c r="U89" i="10"/>
  <c r="U88" i="10"/>
  <c r="U87" i="10"/>
  <c r="BK87" i="10" s="1"/>
  <c r="R98" i="10"/>
  <c r="R97" i="10"/>
  <c r="BI97" i="10" s="1"/>
  <c r="R96" i="10"/>
  <c r="BI96" i="10" s="1"/>
  <c r="R95" i="10"/>
  <c r="R94" i="10"/>
  <c r="R93" i="10"/>
  <c r="R92" i="10"/>
  <c r="R91" i="10"/>
  <c r="R90" i="10"/>
  <c r="R89" i="10"/>
  <c r="R88" i="10"/>
  <c r="BI88" i="10" s="1"/>
  <c r="R87" i="10"/>
  <c r="BI87" i="10" s="1"/>
  <c r="O98" i="10"/>
  <c r="BG98" i="10" s="1"/>
  <c r="O97" i="10"/>
  <c r="BG97" i="10" s="1"/>
  <c r="O96" i="10"/>
  <c r="BG96" i="10" s="1"/>
  <c r="O95" i="10"/>
  <c r="O94" i="10"/>
  <c r="O93" i="10"/>
  <c r="O92" i="10"/>
  <c r="O91" i="10"/>
  <c r="O90" i="10"/>
  <c r="O89" i="10"/>
  <c r="O88" i="10"/>
  <c r="BG88" i="10" s="1"/>
  <c r="O87" i="10"/>
  <c r="L98" i="10"/>
  <c r="L97" i="10"/>
  <c r="BE97" i="10" s="1"/>
  <c r="L96" i="10"/>
  <c r="BE96" i="10" s="1"/>
  <c r="L95" i="10"/>
  <c r="BE95" i="10" s="1"/>
  <c r="L94" i="10"/>
  <c r="L93" i="10"/>
  <c r="L92" i="10"/>
  <c r="L91" i="10"/>
  <c r="L90" i="10"/>
  <c r="BE90" i="10" s="1"/>
  <c r="L89" i="10"/>
  <c r="L88" i="10"/>
  <c r="BE88" i="10" s="1"/>
  <c r="L87" i="10"/>
  <c r="U82" i="10"/>
  <c r="BK82" i="10" s="1"/>
  <c r="U81" i="10"/>
  <c r="BK81" i="10" s="1"/>
  <c r="U80" i="10"/>
  <c r="U79" i="10"/>
  <c r="U78" i="10"/>
  <c r="U77" i="10"/>
  <c r="U76" i="10"/>
  <c r="U75" i="10"/>
  <c r="U74" i="10"/>
  <c r="BK74" i="10" s="1"/>
  <c r="U73" i="10"/>
  <c r="U72" i="10"/>
  <c r="U71" i="10"/>
  <c r="BK71" i="10" s="1"/>
  <c r="R82" i="10"/>
  <c r="BI82" i="10" s="1"/>
  <c r="R81" i="10"/>
  <c r="BI81" i="10" s="1"/>
  <c r="R80" i="10"/>
  <c r="R79" i="10"/>
  <c r="R78" i="10"/>
  <c r="R77" i="10"/>
  <c r="R76" i="10"/>
  <c r="R75" i="10"/>
  <c r="R74" i="10"/>
  <c r="R73" i="10"/>
  <c r="BI73" i="10" s="1"/>
  <c r="R72" i="10"/>
  <c r="R71" i="10"/>
  <c r="BI71" i="10" s="1"/>
  <c r="O82" i="10"/>
  <c r="BG82" i="10" s="1"/>
  <c r="O81" i="10"/>
  <c r="O80" i="10"/>
  <c r="O79" i="10"/>
  <c r="O78" i="10"/>
  <c r="O77" i="10"/>
  <c r="O76" i="10"/>
  <c r="O75" i="10"/>
  <c r="BG75" i="10" s="1"/>
  <c r="O74" i="10"/>
  <c r="BG74" i="10" s="1"/>
  <c r="O73" i="10"/>
  <c r="BG73" i="10" s="1"/>
  <c r="O72" i="10"/>
  <c r="O71" i="10"/>
  <c r="BG71" i="10" s="1"/>
  <c r="L82" i="10"/>
  <c r="L81" i="10"/>
  <c r="L80" i="10"/>
  <c r="L79" i="10"/>
  <c r="L78" i="10"/>
  <c r="BE78" i="10" s="1"/>
  <c r="L77" i="10"/>
  <c r="BE77" i="10" s="1"/>
  <c r="L76" i="10"/>
  <c r="L75" i="10"/>
  <c r="L74" i="10"/>
  <c r="BE74" i="10" s="1"/>
  <c r="L73" i="10"/>
  <c r="BE73" i="10" s="1"/>
  <c r="L72" i="10"/>
  <c r="L71" i="10"/>
  <c r="BE71" i="10" s="1"/>
  <c r="U67" i="10"/>
  <c r="U66" i="10"/>
  <c r="BK66" i="10" s="1"/>
  <c r="U65" i="10"/>
  <c r="U64" i="10"/>
  <c r="BK64" i="10" s="1"/>
  <c r="U63" i="10"/>
  <c r="BK63" i="10" s="1"/>
  <c r="U62" i="10"/>
  <c r="BK62" i="10" s="1"/>
  <c r="U61" i="10"/>
  <c r="U60" i="10"/>
  <c r="BK60" i="10" s="1"/>
  <c r="U59" i="10"/>
  <c r="BK59" i="10" s="1"/>
  <c r="U58" i="10"/>
  <c r="BK58" i="10" s="1"/>
  <c r="U57" i="10"/>
  <c r="U56" i="10"/>
  <c r="R67" i="10"/>
  <c r="R66" i="10"/>
  <c r="R65" i="10"/>
  <c r="R64" i="10"/>
  <c r="BI64" i="10" s="1"/>
  <c r="R63" i="10"/>
  <c r="BI63" i="10" s="1"/>
  <c r="R62" i="10"/>
  <c r="R61" i="10"/>
  <c r="R60" i="10"/>
  <c r="R59" i="10"/>
  <c r="R58" i="10"/>
  <c r="R57" i="10"/>
  <c r="R56" i="10"/>
  <c r="O67" i="10"/>
  <c r="O66" i="10"/>
  <c r="O65" i="10"/>
  <c r="O64" i="10"/>
  <c r="O63" i="10"/>
  <c r="O62" i="10"/>
  <c r="O61" i="10"/>
  <c r="O60" i="10"/>
  <c r="BG60" i="10" s="1"/>
  <c r="O59" i="10"/>
  <c r="O58" i="10"/>
  <c r="O57" i="10"/>
  <c r="O56" i="10"/>
  <c r="L67" i="10"/>
  <c r="BE67" i="10" s="1"/>
  <c r="L66" i="10"/>
  <c r="BE66" i="10" s="1"/>
  <c r="L65" i="10"/>
  <c r="BE65" i="10" s="1"/>
  <c r="L64" i="10"/>
  <c r="L63" i="10"/>
  <c r="BE63" i="10" s="1"/>
  <c r="L62" i="10"/>
  <c r="BE62" i="10" s="1"/>
  <c r="L61" i="10"/>
  <c r="BE61" i="10" s="1"/>
  <c r="L60" i="10"/>
  <c r="L59" i="10"/>
  <c r="L58" i="10"/>
  <c r="L57" i="10"/>
  <c r="L56" i="10"/>
  <c r="U52" i="10"/>
  <c r="U51" i="10"/>
  <c r="BK51" i="10" s="1"/>
  <c r="U50" i="10"/>
  <c r="BK50" i="10" s="1"/>
  <c r="U49" i="10"/>
  <c r="BK49" i="10" s="1"/>
  <c r="U48" i="10"/>
  <c r="U47" i="10"/>
  <c r="U46" i="10"/>
  <c r="U45" i="10"/>
  <c r="U44" i="10"/>
  <c r="U43" i="10"/>
  <c r="U42" i="10"/>
  <c r="U41" i="10"/>
  <c r="BK41" i="10" s="1"/>
  <c r="R52" i="10"/>
  <c r="R51" i="10"/>
  <c r="R50" i="10"/>
  <c r="BI50" i="10" s="1"/>
  <c r="R49" i="10"/>
  <c r="R48" i="10"/>
  <c r="R47" i="10"/>
  <c r="R46" i="10"/>
  <c r="R45" i="10"/>
  <c r="R44" i="10"/>
  <c r="R43" i="10"/>
  <c r="BI43" i="10" s="1"/>
  <c r="R42" i="10"/>
  <c r="R41" i="10"/>
  <c r="O52" i="10"/>
  <c r="O51" i="10"/>
  <c r="BG51" i="10" s="1"/>
  <c r="O50" i="10"/>
  <c r="BG50" i="10" s="1"/>
  <c r="O49" i="10"/>
  <c r="BG49" i="10" s="1"/>
  <c r="O48" i="10"/>
  <c r="BG48" i="10" s="1"/>
  <c r="O47" i="10"/>
  <c r="O46" i="10"/>
  <c r="O45" i="10"/>
  <c r="O44" i="10"/>
  <c r="O43" i="10"/>
  <c r="O42" i="10"/>
  <c r="O41" i="10"/>
  <c r="L52" i="10"/>
  <c r="L51" i="10"/>
  <c r="L50" i="10"/>
  <c r="BE50" i="10" s="1"/>
  <c r="L49" i="10"/>
  <c r="L48" i="10"/>
  <c r="L47" i="10"/>
  <c r="L46" i="10"/>
  <c r="L45" i="10"/>
  <c r="L44" i="10"/>
  <c r="BE44" i="10" s="1"/>
  <c r="L43" i="10"/>
  <c r="BE43" i="10" s="1"/>
  <c r="L42" i="10"/>
  <c r="L41" i="10"/>
  <c r="BE41" i="10" s="1"/>
  <c r="U37" i="10"/>
  <c r="BK37" i="10" s="1"/>
  <c r="U36" i="10"/>
  <c r="U35" i="10"/>
  <c r="U34" i="10"/>
  <c r="U33" i="10"/>
  <c r="U32" i="10"/>
  <c r="BK32" i="10" s="1"/>
  <c r="U31" i="10"/>
  <c r="BK31" i="10" s="1"/>
  <c r="U30" i="10"/>
  <c r="BK30" i="10" s="1"/>
  <c r="U29" i="10"/>
  <c r="BK29" i="10" s="1"/>
  <c r="U28" i="10"/>
  <c r="BK28" i="10" s="1"/>
  <c r="U27" i="10"/>
  <c r="U26" i="10"/>
  <c r="BK26" i="10" s="1"/>
  <c r="R37" i="10"/>
  <c r="R36" i="10"/>
  <c r="BI36" i="10" s="1"/>
  <c r="R35" i="10"/>
  <c r="R34" i="10"/>
  <c r="R33" i="10"/>
  <c r="R32" i="10"/>
  <c r="R31" i="10"/>
  <c r="R30" i="10"/>
  <c r="R29" i="10"/>
  <c r="R28" i="10"/>
  <c r="R27" i="10"/>
  <c r="R26" i="10"/>
  <c r="BI26" i="10" s="1"/>
  <c r="O37" i="10"/>
  <c r="BG37" i="10" s="1"/>
  <c r="O36" i="10"/>
  <c r="BG36" i="10" s="1"/>
  <c r="O35" i="10"/>
  <c r="BG35" i="10" s="1"/>
  <c r="O34" i="10"/>
  <c r="O33" i="10"/>
  <c r="O32" i="10"/>
  <c r="O31" i="10"/>
  <c r="BG31" i="10" s="1"/>
  <c r="O30" i="10"/>
  <c r="O29" i="10"/>
  <c r="BG29" i="10" s="1"/>
  <c r="O28" i="10"/>
  <c r="O27" i="10"/>
  <c r="O26" i="10"/>
  <c r="L37" i="10"/>
  <c r="L36" i="10"/>
  <c r="BE36" i="10" s="1"/>
  <c r="L35" i="10"/>
  <c r="BE35" i="10" s="1"/>
  <c r="L34" i="10"/>
  <c r="BE34" i="10" s="1"/>
  <c r="L33" i="10"/>
  <c r="BE33" i="10" s="1"/>
  <c r="L32" i="10"/>
  <c r="BE32" i="10" s="1"/>
  <c r="L31" i="10"/>
  <c r="L30" i="10"/>
  <c r="L29" i="10"/>
  <c r="L28" i="10"/>
  <c r="L27" i="10"/>
  <c r="L26" i="10"/>
  <c r="U22" i="10"/>
  <c r="BK22" i="10" s="1"/>
  <c r="U21" i="10"/>
  <c r="BK21" i="10" s="1"/>
  <c r="U20" i="10"/>
  <c r="BK20" i="10" s="1"/>
  <c r="U19" i="10"/>
  <c r="BK19" i="10" s="1"/>
  <c r="U18" i="10"/>
  <c r="U17" i="10"/>
  <c r="U16" i="10"/>
  <c r="U15" i="10"/>
  <c r="U14" i="10"/>
  <c r="U13" i="10"/>
  <c r="U12" i="10"/>
  <c r="U11" i="10"/>
  <c r="R22" i="10"/>
  <c r="R21" i="10"/>
  <c r="R20" i="10"/>
  <c r="BI20" i="10" s="1"/>
  <c r="R19" i="10"/>
  <c r="R18" i="10"/>
  <c r="BI18" i="10" s="1"/>
  <c r="R17" i="10"/>
  <c r="R16" i="10"/>
  <c r="R15" i="10"/>
  <c r="R14" i="10"/>
  <c r="R13" i="10"/>
  <c r="R12" i="10"/>
  <c r="R11" i="10"/>
  <c r="O11" i="10"/>
  <c r="O22" i="10"/>
  <c r="BG22" i="10" s="1"/>
  <c r="O21" i="10"/>
  <c r="O20" i="10"/>
  <c r="O19" i="10"/>
  <c r="O18" i="10"/>
  <c r="O17" i="10"/>
  <c r="O16" i="10"/>
  <c r="O15" i="10"/>
  <c r="O14" i="10"/>
  <c r="O13" i="10"/>
  <c r="O12" i="10"/>
  <c r="L12" i="10"/>
  <c r="L13" i="10"/>
  <c r="L14" i="10"/>
  <c r="BE14" i="10" s="1"/>
  <c r="L15" i="10"/>
  <c r="BE15" i="10" s="1"/>
  <c r="L16" i="10"/>
  <c r="L17" i="10"/>
  <c r="L18" i="10"/>
  <c r="L19" i="10"/>
  <c r="L20" i="10"/>
  <c r="L21" i="10"/>
  <c r="BE21" i="10" s="1"/>
  <c r="L22" i="10"/>
  <c r="BE22" i="10" s="1"/>
  <c r="L11" i="10"/>
  <c r="BE11" i="10" s="1"/>
  <c r="C267" i="10"/>
  <c r="D267" i="10" s="1"/>
  <c r="C266" i="10"/>
  <c r="D266" i="10" s="1"/>
  <c r="C265" i="10"/>
  <c r="D265" i="10" s="1"/>
  <c r="C264" i="10"/>
  <c r="D264" i="10" s="1"/>
  <c r="AQ264" i="10" s="1"/>
  <c r="C263" i="10"/>
  <c r="D263" i="10" s="1"/>
  <c r="C262" i="10"/>
  <c r="D262" i="10" s="1"/>
  <c r="C261" i="10"/>
  <c r="D261" i="10" s="1"/>
  <c r="AZ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37" i="10"/>
  <c r="D237" i="10" s="1"/>
  <c r="AQ237" i="10" s="1"/>
  <c r="C236" i="10"/>
  <c r="D236" i="10" s="1"/>
  <c r="C235" i="10"/>
  <c r="D235" i="10" s="1"/>
  <c r="C234" i="10"/>
  <c r="D234" i="10" s="1"/>
  <c r="AW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AQ227" i="10" s="1"/>
  <c r="C226" i="10"/>
  <c r="D226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AQ212" i="10" s="1"/>
  <c r="C211" i="10"/>
  <c r="D211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2" i="10"/>
  <c r="D192" i="10" s="1"/>
  <c r="C191" i="10"/>
  <c r="D191" i="10" s="1"/>
  <c r="C190" i="10"/>
  <c r="D190" i="10" s="1"/>
  <c r="C189" i="10"/>
  <c r="D189" i="10" s="1"/>
  <c r="AZ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AZ152" i="10" s="1"/>
  <c r="C151" i="10"/>
  <c r="D151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AT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1" i="10"/>
  <c r="D131" i="10" s="1"/>
  <c r="C130" i="10"/>
  <c r="D130" i="10" s="1"/>
  <c r="AZ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AQ121" i="10" s="1"/>
  <c r="C120" i="10"/>
  <c r="D120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AT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98" i="10"/>
  <c r="D98" i="10" s="1"/>
  <c r="C97" i="10"/>
  <c r="D97" i="10" s="1"/>
  <c r="C96" i="10"/>
  <c r="D96" i="10" s="1"/>
  <c r="C95" i="10"/>
  <c r="D95" i="10" s="1"/>
  <c r="AT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AQ88" i="10" s="1"/>
  <c r="C87" i="10"/>
  <c r="D87" i="10" s="1"/>
  <c r="C82" i="10"/>
  <c r="D82" i="10" s="1"/>
  <c r="AZ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AZ58" i="10" s="1"/>
  <c r="C57" i="10"/>
  <c r="D57" i="10" s="1"/>
  <c r="C56" i="10"/>
  <c r="D56" i="10" s="1"/>
  <c r="C52" i="10"/>
  <c r="D52" i="10" s="1"/>
  <c r="C51" i="10"/>
  <c r="D51" i="10" s="1"/>
  <c r="C50" i="10"/>
  <c r="D50" i="10" s="1"/>
  <c r="C49" i="10"/>
  <c r="D49" i="10" s="1"/>
  <c r="AW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37" i="10"/>
  <c r="D37" i="10" s="1"/>
  <c r="C36" i="10"/>
  <c r="D36" i="10" s="1"/>
  <c r="C35" i="10"/>
  <c r="D35" i="10" s="1"/>
  <c r="C34" i="10"/>
  <c r="D34" i="10" s="1"/>
  <c r="AT34" i="10" s="1"/>
  <c r="C33" i="10"/>
  <c r="D33" i="10" s="1"/>
  <c r="C32" i="10"/>
  <c r="D32" i="10" s="1"/>
  <c r="C31" i="10"/>
  <c r="D31" i="10" s="1"/>
  <c r="C30" i="10"/>
  <c r="D30" i="10" s="1"/>
  <c r="C29" i="10"/>
  <c r="D29" i="10" s="1"/>
  <c r="AW29" i="10" s="1"/>
  <c r="C28" i="10"/>
  <c r="D28" i="10" s="1"/>
  <c r="C27" i="10"/>
  <c r="D27" i="10" s="1"/>
  <c r="C26" i="10"/>
  <c r="D26" i="10" s="1"/>
  <c r="C22" i="10"/>
  <c r="D22" i="10" s="1"/>
  <c r="AT22" i="10" s="1"/>
  <c r="C21" i="10"/>
  <c r="D21" i="10" s="1"/>
  <c r="C20" i="10"/>
  <c r="D20" i="10" s="1"/>
  <c r="C19" i="10"/>
  <c r="D19" i="10" s="1"/>
  <c r="AW19" i="10" s="1"/>
  <c r="C18" i="10"/>
  <c r="D18" i="10" s="1"/>
  <c r="C17" i="10"/>
  <c r="D17" i="10" s="1"/>
  <c r="AZ17" i="10" s="1"/>
  <c r="C16" i="10"/>
  <c r="D16" i="10" s="1"/>
  <c r="AQ16" i="10" s="1"/>
  <c r="C15" i="10"/>
  <c r="D15" i="10" s="1"/>
  <c r="C14" i="10"/>
  <c r="D14" i="10" s="1"/>
  <c r="C13" i="10"/>
  <c r="D13" i="10" s="1"/>
  <c r="C12" i="10"/>
  <c r="D12" i="10" s="1"/>
  <c r="C11" i="10"/>
  <c r="D11" i="10" s="1"/>
  <c r="AW11" i="10" s="1"/>
  <c r="AZ114" i="10" l="1"/>
  <c r="AA114" i="10"/>
  <c r="AJ114" i="10"/>
  <c r="AD114" i="10"/>
  <c r="AG114" i="10"/>
  <c r="AZ191" i="10"/>
  <c r="AD191" i="10"/>
  <c r="AA191" i="10"/>
  <c r="AG191" i="10"/>
  <c r="AJ191" i="10"/>
  <c r="AQ147" i="10"/>
  <c r="AG147" i="10"/>
  <c r="AD147" i="10"/>
  <c r="AA147" i="10"/>
  <c r="AJ147" i="10"/>
  <c r="AT26" i="10"/>
  <c r="AJ26" i="10"/>
  <c r="AG26" i="10"/>
  <c r="AD26" i="10"/>
  <c r="AA26" i="10"/>
  <c r="BG26" i="10"/>
  <c r="AQ21" i="10"/>
  <c r="AA21" i="10"/>
  <c r="AJ21" i="10"/>
  <c r="AG21" i="10"/>
  <c r="AD21" i="10"/>
  <c r="AQ176" i="10"/>
  <c r="AA176" i="10"/>
  <c r="AD176" i="10"/>
  <c r="AJ176" i="10"/>
  <c r="AG176" i="10"/>
  <c r="AT131" i="10"/>
  <c r="AG131" i="10"/>
  <c r="AD131" i="10"/>
  <c r="AA131" i="10"/>
  <c r="AJ131" i="10"/>
  <c r="BE37" i="10"/>
  <c r="AJ71" i="10"/>
  <c r="AG71" i="10"/>
  <c r="AD71" i="10"/>
  <c r="AA71" i="10"/>
  <c r="AJ181" i="10"/>
  <c r="AG181" i="10"/>
  <c r="AD181" i="10"/>
  <c r="AA181" i="10"/>
  <c r="BG56" i="10"/>
  <c r="BE104" i="10"/>
  <c r="AZ12" i="10"/>
  <c r="AJ12" i="10"/>
  <c r="AG12" i="10"/>
  <c r="AA12" i="10"/>
  <c r="AD12" i="10"/>
  <c r="T57" i="10"/>
  <c r="AD57" i="10"/>
  <c r="AJ57" i="10"/>
  <c r="AG57" i="10"/>
  <c r="AA57" i="10"/>
  <c r="AZ167" i="10"/>
  <c r="AA167" i="10"/>
  <c r="AG167" i="10"/>
  <c r="AD167" i="10"/>
  <c r="AJ167" i="10"/>
  <c r="AW28" i="10"/>
  <c r="AD28" i="10"/>
  <c r="AJ28" i="10"/>
  <c r="AA28" i="10"/>
  <c r="AG28" i="10"/>
  <c r="T89" i="10"/>
  <c r="AD89" i="10"/>
  <c r="AJ89" i="10"/>
  <c r="AG89" i="10"/>
  <c r="AA89" i="10"/>
  <c r="AW106" i="10"/>
  <c r="AD106" i="10"/>
  <c r="AA106" i="10"/>
  <c r="AJ106" i="10"/>
  <c r="AG106" i="10"/>
  <c r="AQ122" i="10"/>
  <c r="AG122" i="10"/>
  <c r="AD122" i="10"/>
  <c r="AA122" i="10"/>
  <c r="AJ122" i="10"/>
  <c r="AQ138" i="10"/>
  <c r="AG138" i="10"/>
  <c r="AD138" i="10"/>
  <c r="AA138" i="10"/>
  <c r="AJ138" i="10"/>
  <c r="AW153" i="10"/>
  <c r="AG153" i="10"/>
  <c r="AD153" i="10"/>
  <c r="AA153" i="10"/>
  <c r="AJ153" i="10"/>
  <c r="AZ168" i="10"/>
  <c r="AG168" i="10"/>
  <c r="AD168" i="10"/>
  <c r="AA168" i="10"/>
  <c r="AJ168" i="10"/>
  <c r="T183" i="10"/>
  <c r="AJ183" i="10"/>
  <c r="AG183" i="10"/>
  <c r="AD183" i="10"/>
  <c r="AA183" i="10"/>
  <c r="AW198" i="10"/>
  <c r="AJ198" i="10"/>
  <c r="AG198" i="10"/>
  <c r="AD198" i="10"/>
  <c r="AA198" i="10"/>
  <c r="T213" i="10"/>
  <c r="AJ213" i="10"/>
  <c r="AG213" i="10"/>
  <c r="AD213" i="10"/>
  <c r="AA213" i="10"/>
  <c r="AQ228" i="10"/>
  <c r="AJ228" i="10"/>
  <c r="AG228" i="10"/>
  <c r="AD228" i="10"/>
  <c r="AA228" i="10"/>
  <c r="AZ243" i="10"/>
  <c r="AJ243" i="10"/>
  <c r="AG243" i="10"/>
  <c r="AD243" i="10"/>
  <c r="AA243" i="10"/>
  <c r="AW258" i="10"/>
  <c r="AJ258" i="10"/>
  <c r="AG258" i="10"/>
  <c r="AD258" i="10"/>
  <c r="AA258" i="10"/>
  <c r="BG28" i="10"/>
  <c r="BG58" i="10"/>
  <c r="BK243" i="10"/>
  <c r="BE258" i="10"/>
  <c r="AZ26" i="10"/>
  <c r="BI106" i="10"/>
  <c r="AQ167" i="10"/>
  <c r="AT97" i="10"/>
  <c r="AJ97" i="10"/>
  <c r="AA97" i="10"/>
  <c r="AG97" i="10"/>
  <c r="AD97" i="10"/>
  <c r="AZ236" i="10"/>
  <c r="AD236" i="10"/>
  <c r="AA236" i="10"/>
  <c r="AJ236" i="10"/>
  <c r="AG236" i="10"/>
  <c r="T37" i="10"/>
  <c r="AD37" i="10"/>
  <c r="AA37" i="10"/>
  <c r="AG37" i="10"/>
  <c r="AJ37" i="10"/>
  <c r="AZ177" i="10"/>
  <c r="AG177" i="10"/>
  <c r="AD177" i="10"/>
  <c r="AA177" i="10"/>
  <c r="AJ177" i="10"/>
  <c r="BK98" i="10"/>
  <c r="AJ120" i="10"/>
  <c r="AG120" i="10"/>
  <c r="AD120" i="10"/>
  <c r="AA120" i="10"/>
  <c r="AJ196" i="10"/>
  <c r="AG196" i="10"/>
  <c r="AD196" i="10"/>
  <c r="AA196" i="10"/>
  <c r="BI196" i="10"/>
  <c r="AW37" i="10"/>
  <c r="AZ42" i="10"/>
  <c r="AJ42" i="10"/>
  <c r="AD42" i="10"/>
  <c r="AG42" i="10"/>
  <c r="AA42" i="10"/>
  <c r="AQ182" i="10"/>
  <c r="AD182" i="10"/>
  <c r="AA182" i="10"/>
  <c r="AG182" i="10"/>
  <c r="AJ182" i="10"/>
  <c r="BI197" i="10"/>
  <c r="BK197" i="10"/>
  <c r="AJ14" i="10"/>
  <c r="AG14" i="10"/>
  <c r="AD14" i="10"/>
  <c r="AA14" i="10"/>
  <c r="AJ90" i="10"/>
  <c r="AG90" i="10"/>
  <c r="AD90" i="10"/>
  <c r="AA90" i="10"/>
  <c r="AJ123" i="10"/>
  <c r="AG123" i="10"/>
  <c r="AD123" i="10"/>
  <c r="AA123" i="10"/>
  <c r="AJ139" i="10"/>
  <c r="AG139" i="10"/>
  <c r="AD139" i="10"/>
  <c r="AA139" i="10"/>
  <c r="AJ154" i="10"/>
  <c r="AG154" i="10"/>
  <c r="AD154" i="10"/>
  <c r="AA154" i="10"/>
  <c r="AJ169" i="10"/>
  <c r="AG169" i="10"/>
  <c r="AD169" i="10"/>
  <c r="AA169" i="10"/>
  <c r="AQ184" i="10"/>
  <c r="AJ184" i="10"/>
  <c r="AG184" i="10"/>
  <c r="AD184" i="10"/>
  <c r="AA184" i="10"/>
  <c r="AQ199" i="10"/>
  <c r="AJ199" i="10"/>
  <c r="AG199" i="10"/>
  <c r="AA199" i="10"/>
  <c r="AD199" i="10"/>
  <c r="AW214" i="10"/>
  <c r="AJ214" i="10"/>
  <c r="AG214" i="10"/>
  <c r="AD214" i="10"/>
  <c r="AA214" i="10"/>
  <c r="AJ229" i="10"/>
  <c r="AG229" i="10"/>
  <c r="AD229" i="10"/>
  <c r="AA229" i="10"/>
  <c r="AJ244" i="10"/>
  <c r="AG244" i="10"/>
  <c r="AD244" i="10"/>
  <c r="AA244" i="10"/>
  <c r="AJ259" i="10"/>
  <c r="AG259" i="10"/>
  <c r="AD259" i="10"/>
  <c r="AA259" i="10"/>
  <c r="BI14" i="10"/>
  <c r="BI44" i="10"/>
  <c r="BG59" i="10"/>
  <c r="BI184" i="10"/>
  <c r="BK184" i="10"/>
  <c r="BI244" i="10"/>
  <c r="BK244" i="10"/>
  <c r="BE259" i="10"/>
  <c r="BG259" i="10"/>
  <c r="BG30" i="10"/>
  <c r="AZ106" i="10"/>
  <c r="BI212" i="10"/>
  <c r="AZ146" i="10"/>
  <c r="AA146" i="10"/>
  <c r="AJ146" i="10"/>
  <c r="AG146" i="10"/>
  <c r="AD146" i="10"/>
  <c r="AT52" i="10"/>
  <c r="AD52" i="10"/>
  <c r="AA52" i="10"/>
  <c r="AG52" i="10"/>
  <c r="AJ52" i="10"/>
  <c r="AZ222" i="10"/>
  <c r="AJ222" i="10"/>
  <c r="AG222" i="10"/>
  <c r="AD222" i="10"/>
  <c r="AA222" i="10"/>
  <c r="AZ41" i="10"/>
  <c r="AJ41" i="10"/>
  <c r="AG41" i="10"/>
  <c r="AD41" i="10"/>
  <c r="AA41" i="10"/>
  <c r="AJ151" i="10"/>
  <c r="AG151" i="10"/>
  <c r="AD151" i="10"/>
  <c r="AA151" i="10"/>
  <c r="AJ256" i="10"/>
  <c r="AG256" i="10"/>
  <c r="AD256" i="10"/>
  <c r="AA256" i="10"/>
  <c r="K27" i="10"/>
  <c r="AJ27" i="10"/>
  <c r="AG27" i="10"/>
  <c r="AD27" i="10"/>
  <c r="AA27" i="10"/>
  <c r="AT152" i="10"/>
  <c r="AA152" i="10"/>
  <c r="AG152" i="10"/>
  <c r="AD152" i="10"/>
  <c r="AJ152" i="10"/>
  <c r="BK137" i="10"/>
  <c r="AW13" i="10"/>
  <c r="AD13" i="10"/>
  <c r="AA13" i="10"/>
  <c r="AJ13" i="10"/>
  <c r="AG13" i="10"/>
  <c r="AT60" i="10"/>
  <c r="AJ60" i="10"/>
  <c r="AG60" i="10"/>
  <c r="AD60" i="10"/>
  <c r="AA60" i="10"/>
  <c r="AQ140" i="10"/>
  <c r="AA140" i="10"/>
  <c r="AJ140" i="10"/>
  <c r="AG140" i="10"/>
  <c r="AD140" i="10"/>
  <c r="AD185" i="10"/>
  <c r="AA185" i="10"/>
  <c r="AJ185" i="10"/>
  <c r="AG185" i="10"/>
  <c r="AD200" i="10"/>
  <c r="AA200" i="10"/>
  <c r="AJ200" i="10"/>
  <c r="AG200" i="10"/>
  <c r="AD215" i="10"/>
  <c r="AA215" i="10"/>
  <c r="AG215" i="10"/>
  <c r="AJ215" i="10"/>
  <c r="AQ230" i="10"/>
  <c r="AD230" i="10"/>
  <c r="AA230" i="10"/>
  <c r="AJ230" i="10"/>
  <c r="AG230" i="10"/>
  <c r="AD245" i="10"/>
  <c r="AA245" i="10"/>
  <c r="AJ245" i="10"/>
  <c r="AG245" i="10"/>
  <c r="AD260" i="10"/>
  <c r="AA260" i="10"/>
  <c r="AJ260" i="10"/>
  <c r="AG260" i="10"/>
  <c r="BI15" i="10"/>
  <c r="BI45" i="10"/>
  <c r="BE91" i="10"/>
  <c r="BG91" i="10"/>
  <c r="BE140" i="10"/>
  <c r="BI185" i="10"/>
  <c r="BK185" i="10"/>
  <c r="BI245" i="10"/>
  <c r="BK245" i="10"/>
  <c r="BE260" i="10"/>
  <c r="BE109" i="10"/>
  <c r="BG120" i="10"/>
  <c r="AQ168" i="10"/>
  <c r="AT167" i="10"/>
  <c r="BG202" i="10"/>
  <c r="T81" i="10"/>
  <c r="BJ81" i="10" s="1"/>
  <c r="AJ81" i="10"/>
  <c r="AG81" i="10"/>
  <c r="AA81" i="10"/>
  <c r="AD81" i="10"/>
  <c r="AT221" i="10"/>
  <c r="AD221" i="10"/>
  <c r="AA221" i="10"/>
  <c r="AJ221" i="10"/>
  <c r="AG221" i="10"/>
  <c r="AZ67" i="10"/>
  <c r="AD67" i="10"/>
  <c r="AA67" i="10"/>
  <c r="AJ67" i="10"/>
  <c r="AG67" i="10"/>
  <c r="AZ162" i="10"/>
  <c r="AG162" i="10"/>
  <c r="AD162" i="10"/>
  <c r="AA162" i="10"/>
  <c r="AJ162" i="10"/>
  <c r="AZ252" i="10"/>
  <c r="AJ252" i="10"/>
  <c r="AG252" i="10"/>
  <c r="AD252" i="10"/>
  <c r="AA252" i="10"/>
  <c r="AJ104" i="10"/>
  <c r="AG104" i="10"/>
  <c r="AD104" i="10"/>
  <c r="AA104" i="10"/>
  <c r="AJ226" i="10"/>
  <c r="AG226" i="10"/>
  <c r="AD226" i="10"/>
  <c r="AA226" i="10"/>
  <c r="BI56" i="10"/>
  <c r="AT137" i="10"/>
  <c r="AA137" i="10"/>
  <c r="AG137" i="10"/>
  <c r="AD137" i="10"/>
  <c r="AJ137" i="10"/>
  <c r="AD257" i="10"/>
  <c r="AA257" i="10"/>
  <c r="AJ257" i="10"/>
  <c r="AG257" i="10"/>
  <c r="BE105" i="10"/>
  <c r="BE197" i="10"/>
  <c r="AW73" i="10"/>
  <c r="AD73" i="10"/>
  <c r="AA73" i="10"/>
  <c r="AG73" i="10"/>
  <c r="AJ73" i="10"/>
  <c r="AJ74" i="10"/>
  <c r="AG74" i="10"/>
  <c r="AD74" i="10"/>
  <c r="AA74" i="10"/>
  <c r="AD30" i="10"/>
  <c r="AA30" i="10"/>
  <c r="AJ30" i="10"/>
  <c r="AG30" i="10"/>
  <c r="AD75" i="10"/>
  <c r="AJ75" i="10"/>
  <c r="AG75" i="10"/>
  <c r="AA75" i="10"/>
  <c r="AA124" i="10"/>
  <c r="AJ124" i="10"/>
  <c r="AG124" i="10"/>
  <c r="AD124" i="10"/>
  <c r="AT16" i="10"/>
  <c r="AD16" i="10"/>
  <c r="AG16" i="10"/>
  <c r="AA16" i="10"/>
  <c r="AJ16" i="10"/>
  <c r="AD31" i="10"/>
  <c r="AG31" i="10"/>
  <c r="AA31" i="10"/>
  <c r="AJ31" i="10"/>
  <c r="AD46" i="10"/>
  <c r="AG46" i="10"/>
  <c r="AA46" i="10"/>
  <c r="AJ46" i="10"/>
  <c r="AD61" i="10"/>
  <c r="AA61" i="10"/>
  <c r="AJ61" i="10"/>
  <c r="AG61" i="10"/>
  <c r="AD76" i="10"/>
  <c r="AA76" i="10"/>
  <c r="AJ76" i="10"/>
  <c r="AG76" i="10"/>
  <c r="AD92" i="10"/>
  <c r="AG92" i="10"/>
  <c r="AA92" i="10"/>
  <c r="AJ92" i="10"/>
  <c r="AG109" i="10"/>
  <c r="AD109" i="10"/>
  <c r="AA109" i="10"/>
  <c r="AJ109" i="10"/>
  <c r="AG125" i="10"/>
  <c r="AD125" i="10"/>
  <c r="AA125" i="10"/>
  <c r="AJ125" i="10"/>
  <c r="AQ141" i="10"/>
  <c r="AG141" i="10"/>
  <c r="AD141" i="10"/>
  <c r="AA141" i="10"/>
  <c r="AJ141" i="10"/>
  <c r="AG156" i="10"/>
  <c r="AD156" i="10"/>
  <c r="AA156" i="10"/>
  <c r="AJ156" i="10"/>
  <c r="AG171" i="10"/>
  <c r="AD171" i="10"/>
  <c r="AA171" i="10"/>
  <c r="AJ171" i="10"/>
  <c r="AJ186" i="10"/>
  <c r="AG186" i="10"/>
  <c r="AD186" i="10"/>
  <c r="AA186" i="10"/>
  <c r="AJ201" i="10"/>
  <c r="AG201" i="10"/>
  <c r="AD201" i="10"/>
  <c r="AA201" i="10"/>
  <c r="AJ216" i="10"/>
  <c r="AG216" i="10"/>
  <c r="AD216" i="10"/>
  <c r="AA216" i="10"/>
  <c r="AJ231" i="10"/>
  <c r="AG231" i="10"/>
  <c r="AD231" i="10"/>
  <c r="AA231" i="10"/>
  <c r="AW246" i="10"/>
  <c r="AJ246" i="10"/>
  <c r="AG246" i="10"/>
  <c r="AD246" i="10"/>
  <c r="AA246" i="10"/>
  <c r="AT261" i="10"/>
  <c r="AJ261" i="10"/>
  <c r="AG261" i="10"/>
  <c r="AD261" i="10"/>
  <c r="AA261" i="10"/>
  <c r="BG46" i="10"/>
  <c r="BI46" i="10"/>
  <c r="BG92" i="10"/>
  <c r="BI92" i="10"/>
  <c r="BE186" i="10"/>
  <c r="BI186" i="10"/>
  <c r="BG246" i="10"/>
  <c r="BI246" i="10"/>
  <c r="BK246" i="10"/>
  <c r="BE261" i="10"/>
  <c r="BE17" i="10"/>
  <c r="AT13" i="10"/>
  <c r="AT41" i="10"/>
  <c r="AZ73" i="10"/>
  <c r="AT36" i="10"/>
  <c r="AD36" i="10"/>
  <c r="AJ36" i="10"/>
  <c r="AG36" i="10"/>
  <c r="AA36" i="10"/>
  <c r="AT161" i="10"/>
  <c r="AA161" i="10"/>
  <c r="AD161" i="10"/>
  <c r="AJ161" i="10"/>
  <c r="AG161" i="10"/>
  <c r="AW266" i="10"/>
  <c r="AD266" i="10"/>
  <c r="AA266" i="10"/>
  <c r="AJ266" i="10"/>
  <c r="AG266" i="10"/>
  <c r="AZ115" i="10"/>
  <c r="AG115" i="10"/>
  <c r="AD115" i="10"/>
  <c r="AA115" i="10"/>
  <c r="AJ115" i="10"/>
  <c r="AW267" i="10"/>
  <c r="AJ267" i="10"/>
  <c r="AG267" i="10"/>
  <c r="AD267" i="10"/>
  <c r="AA267" i="10"/>
  <c r="AQ56" i="10"/>
  <c r="AJ56" i="10"/>
  <c r="AG56" i="10"/>
  <c r="AD56" i="10"/>
  <c r="AA56" i="10"/>
  <c r="AJ211" i="10"/>
  <c r="AG211" i="10"/>
  <c r="AA211" i="10"/>
  <c r="AD211" i="10"/>
  <c r="AT105" i="10"/>
  <c r="AJ105" i="10"/>
  <c r="AG105" i="10"/>
  <c r="AD105" i="10"/>
  <c r="AA105" i="10"/>
  <c r="AZ227" i="10"/>
  <c r="AD227" i="10"/>
  <c r="AA227" i="10"/>
  <c r="AJ227" i="10"/>
  <c r="AG227" i="10"/>
  <c r="AZ43" i="10"/>
  <c r="AD43" i="10"/>
  <c r="AA43" i="10"/>
  <c r="AG43" i="10"/>
  <c r="AJ43" i="10"/>
  <c r="AJ44" i="10"/>
  <c r="AG44" i="10"/>
  <c r="AD44" i="10"/>
  <c r="AA44" i="10"/>
  <c r="AJ107" i="10"/>
  <c r="AG107" i="10"/>
  <c r="AD107" i="10"/>
  <c r="AA107" i="10"/>
  <c r="AA45" i="10"/>
  <c r="AJ45" i="10"/>
  <c r="AD45" i="10"/>
  <c r="AG45" i="10"/>
  <c r="AT108" i="10"/>
  <c r="AJ108" i="10"/>
  <c r="AG108" i="10"/>
  <c r="AA108" i="10"/>
  <c r="AD108" i="10"/>
  <c r="AA155" i="10"/>
  <c r="AJ155" i="10"/>
  <c r="AG155" i="10"/>
  <c r="AD155" i="10"/>
  <c r="AT17" i="10"/>
  <c r="AJ17" i="10"/>
  <c r="AG17" i="10"/>
  <c r="AD17" i="10"/>
  <c r="AA17" i="10"/>
  <c r="K32" i="10"/>
  <c r="AJ32" i="10"/>
  <c r="AG32" i="10"/>
  <c r="AD32" i="10"/>
  <c r="AA32" i="10"/>
  <c r="AZ47" i="10"/>
  <c r="AJ47" i="10"/>
  <c r="AG47" i="10"/>
  <c r="AD47" i="10"/>
  <c r="AA47" i="10"/>
  <c r="AZ62" i="10"/>
  <c r="AJ62" i="10"/>
  <c r="AG62" i="10"/>
  <c r="AD62" i="10"/>
  <c r="AA62" i="10"/>
  <c r="AJ77" i="10"/>
  <c r="AG77" i="10"/>
  <c r="AD77" i="10"/>
  <c r="AA77" i="10"/>
  <c r="AJ93" i="10"/>
  <c r="AG93" i="10"/>
  <c r="AD93" i="10"/>
  <c r="AA93" i="10"/>
  <c r="AJ110" i="10"/>
  <c r="AG110" i="10"/>
  <c r="AD110" i="10"/>
  <c r="AA110" i="10"/>
  <c r="AJ126" i="10"/>
  <c r="AG126" i="10"/>
  <c r="AD126" i="10"/>
  <c r="AA126" i="10"/>
  <c r="AJ142" i="10"/>
  <c r="AG142" i="10"/>
  <c r="AD142" i="10"/>
  <c r="AA142" i="10"/>
  <c r="AJ157" i="10"/>
  <c r="AG157" i="10"/>
  <c r="AD157" i="10"/>
  <c r="AA157" i="10"/>
  <c r="AJ172" i="10"/>
  <c r="AG172" i="10"/>
  <c r="AD172" i="10"/>
  <c r="AA172" i="10"/>
  <c r="AJ187" i="10"/>
  <c r="AG187" i="10"/>
  <c r="AA187" i="10"/>
  <c r="AD187" i="10"/>
  <c r="AJ202" i="10"/>
  <c r="AG202" i="10"/>
  <c r="AD202" i="10"/>
  <c r="AA202" i="10"/>
  <c r="AJ217" i="10"/>
  <c r="AG217" i="10"/>
  <c r="AD217" i="10"/>
  <c r="AA217" i="10"/>
  <c r="AJ232" i="10"/>
  <c r="AG232" i="10"/>
  <c r="AD232" i="10"/>
  <c r="AA232" i="10"/>
  <c r="AJ247" i="10"/>
  <c r="AG247" i="10"/>
  <c r="AD247" i="10"/>
  <c r="AA247" i="10"/>
  <c r="AJ262" i="10"/>
  <c r="AG262" i="10"/>
  <c r="AD262" i="10"/>
  <c r="AA262" i="10"/>
  <c r="BG18" i="10"/>
  <c r="BI17" i="10"/>
  <c r="BG47" i="10"/>
  <c r="BK126" i="10"/>
  <c r="BG187" i="10"/>
  <c r="BG232" i="10"/>
  <c r="BE16" i="10"/>
  <c r="AW122" i="10"/>
  <c r="AT182" i="10"/>
  <c r="AQ51" i="10"/>
  <c r="AD51" i="10"/>
  <c r="AJ51" i="10"/>
  <c r="AA51" i="10"/>
  <c r="AG51" i="10"/>
  <c r="AT206" i="10"/>
  <c r="AD206" i="10"/>
  <c r="AA206" i="10"/>
  <c r="AJ206" i="10"/>
  <c r="AG206" i="10"/>
  <c r="AW98" i="10"/>
  <c r="AD98" i="10"/>
  <c r="AJ98" i="10"/>
  <c r="AA98" i="10"/>
  <c r="AG98" i="10"/>
  <c r="AJ237" i="10"/>
  <c r="AG237" i="10"/>
  <c r="AD237" i="10"/>
  <c r="AA237" i="10"/>
  <c r="Q11" i="10"/>
  <c r="AJ11" i="10"/>
  <c r="AG11" i="10"/>
  <c r="AD11" i="10"/>
  <c r="AA11" i="10"/>
  <c r="K166" i="10"/>
  <c r="AJ166" i="10"/>
  <c r="AG166" i="10"/>
  <c r="AD166" i="10"/>
  <c r="AA166" i="10"/>
  <c r="AT88" i="10"/>
  <c r="AA88" i="10"/>
  <c r="AJ88" i="10"/>
  <c r="AD88" i="10"/>
  <c r="AG88" i="10"/>
  <c r="AZ212" i="10"/>
  <c r="AD212" i="10"/>
  <c r="AA212" i="10"/>
  <c r="AJ212" i="10"/>
  <c r="AG212" i="10"/>
  <c r="BI257" i="10"/>
  <c r="K58" i="10"/>
  <c r="AD58" i="10"/>
  <c r="AA58" i="10"/>
  <c r="AJ58" i="10"/>
  <c r="AG58" i="10"/>
  <c r="AJ29" i="10"/>
  <c r="AG29" i="10"/>
  <c r="AD29" i="10"/>
  <c r="AA29" i="10"/>
  <c r="AJ59" i="10"/>
  <c r="AG59" i="10"/>
  <c r="AD59" i="10"/>
  <c r="AA59" i="10"/>
  <c r="AQ15" i="10"/>
  <c r="AJ15" i="10"/>
  <c r="AG15" i="10"/>
  <c r="AD15" i="10"/>
  <c r="AA15" i="10"/>
  <c r="AJ91" i="10"/>
  <c r="AG91" i="10"/>
  <c r="AD91" i="10"/>
  <c r="AA91" i="10"/>
  <c r="AA170" i="10"/>
  <c r="AJ170" i="10"/>
  <c r="AG170" i="10"/>
  <c r="AD170" i="10"/>
  <c r="AD18" i="10"/>
  <c r="AA18" i="10"/>
  <c r="AJ18" i="10"/>
  <c r="AG18" i="10"/>
  <c r="AJ33" i="10"/>
  <c r="AG33" i="10"/>
  <c r="AD33" i="10"/>
  <c r="AA33" i="10"/>
  <c r="AA48" i="10"/>
  <c r="AJ48" i="10"/>
  <c r="AG48" i="10"/>
  <c r="AD48" i="10"/>
  <c r="AJ63" i="10"/>
  <c r="AA63" i="10"/>
  <c r="AG63" i="10"/>
  <c r="AD63" i="10"/>
  <c r="AA78" i="10"/>
  <c r="AJ78" i="10"/>
  <c r="AG78" i="10"/>
  <c r="AD78" i="10"/>
  <c r="AJ94" i="10"/>
  <c r="AD94" i="10"/>
  <c r="AG94" i="10"/>
  <c r="AA94" i="10"/>
  <c r="AW111" i="10"/>
  <c r="AA111" i="10"/>
  <c r="AG111" i="10"/>
  <c r="AD111" i="10"/>
  <c r="AJ111" i="10"/>
  <c r="AQ127" i="10"/>
  <c r="AA127" i="10"/>
  <c r="AG127" i="10"/>
  <c r="AJ127" i="10"/>
  <c r="AD127" i="10"/>
  <c r="AA143" i="10"/>
  <c r="AG143" i="10"/>
  <c r="AD143" i="10"/>
  <c r="AJ143" i="10"/>
  <c r="AA158" i="10"/>
  <c r="AG158" i="10"/>
  <c r="AD158" i="10"/>
  <c r="AJ158" i="10"/>
  <c r="AA173" i="10"/>
  <c r="AG173" i="10"/>
  <c r="AD173" i="10"/>
  <c r="AJ173" i="10"/>
  <c r="AD188" i="10"/>
  <c r="AA188" i="10"/>
  <c r="AJ188" i="10"/>
  <c r="AG188" i="10"/>
  <c r="AZ203" i="10"/>
  <c r="AD203" i="10"/>
  <c r="AA203" i="10"/>
  <c r="AG203" i="10"/>
  <c r="AJ203" i="10"/>
  <c r="AD218" i="10"/>
  <c r="AA218" i="10"/>
  <c r="AJ218" i="10"/>
  <c r="AG218" i="10"/>
  <c r="AD233" i="10"/>
  <c r="AA233" i="10"/>
  <c r="AJ233" i="10"/>
  <c r="AG233" i="10"/>
  <c r="AD248" i="10"/>
  <c r="AA248" i="10"/>
  <c r="AJ248" i="10"/>
  <c r="AG248" i="10"/>
  <c r="AD263" i="10"/>
  <c r="AA263" i="10"/>
  <c r="AJ263" i="10"/>
  <c r="AG263" i="10"/>
  <c r="BG19" i="10"/>
  <c r="BK33" i="10"/>
  <c r="BK78" i="10"/>
  <c r="BE94" i="10"/>
  <c r="BK127" i="10"/>
  <c r="BE173" i="10"/>
  <c r="BG173" i="10"/>
  <c r="AQ45" i="10"/>
  <c r="AW76" i="10"/>
  <c r="AZ122" i="10"/>
  <c r="AW182" i="10"/>
  <c r="BE217" i="10"/>
  <c r="AQ130" i="10"/>
  <c r="AA130" i="10"/>
  <c r="AD130" i="10"/>
  <c r="AJ130" i="10"/>
  <c r="AG130" i="10"/>
  <c r="AW22" i="10"/>
  <c r="AD22" i="10"/>
  <c r="AA22" i="10"/>
  <c r="AG22" i="10"/>
  <c r="AJ22" i="10"/>
  <c r="AZ207" i="10"/>
  <c r="AJ207" i="10"/>
  <c r="AG207" i="10"/>
  <c r="AD207" i="10"/>
  <c r="AA207" i="10"/>
  <c r="BE115" i="10"/>
  <c r="AJ136" i="10"/>
  <c r="AG136" i="10"/>
  <c r="AD136" i="10"/>
  <c r="AA136" i="10"/>
  <c r="BG104" i="10"/>
  <c r="T72" i="10"/>
  <c r="AA72" i="10"/>
  <c r="AJ72" i="10"/>
  <c r="AG72" i="10"/>
  <c r="AD72" i="10"/>
  <c r="AD242" i="10"/>
  <c r="AA242" i="10"/>
  <c r="AJ242" i="10"/>
  <c r="AG242" i="10"/>
  <c r="BG57" i="10"/>
  <c r="AZ105" i="10"/>
  <c r="K34" i="10"/>
  <c r="AD34" i="10"/>
  <c r="AA34" i="10"/>
  <c r="AJ34" i="10"/>
  <c r="AG34" i="10"/>
  <c r="AQ64" i="10"/>
  <c r="AD64" i="10"/>
  <c r="AJ64" i="10"/>
  <c r="AA64" i="10"/>
  <c r="AG64" i="10"/>
  <c r="AQ95" i="10"/>
  <c r="AD95" i="10"/>
  <c r="AA95" i="10"/>
  <c r="AG95" i="10"/>
  <c r="AJ95" i="10"/>
  <c r="AQ144" i="10"/>
  <c r="AG144" i="10"/>
  <c r="AD144" i="10"/>
  <c r="AA144" i="10"/>
  <c r="AJ144" i="10"/>
  <c r="AG174" i="10"/>
  <c r="AD174" i="10"/>
  <c r="AA174" i="10"/>
  <c r="AJ174" i="10"/>
  <c r="AQ189" i="10"/>
  <c r="AJ189" i="10"/>
  <c r="AG189" i="10"/>
  <c r="AD189" i="10"/>
  <c r="AA189" i="10"/>
  <c r="AZ204" i="10"/>
  <c r="AJ204" i="10"/>
  <c r="AG204" i="10"/>
  <c r="AD204" i="10"/>
  <c r="AA204" i="10"/>
  <c r="AJ219" i="10"/>
  <c r="AG219" i="10"/>
  <c r="AD219" i="10"/>
  <c r="AA219" i="10"/>
  <c r="AQ234" i="10"/>
  <c r="AJ234" i="10"/>
  <c r="AG234" i="10"/>
  <c r="AD234" i="10"/>
  <c r="AA234" i="10"/>
  <c r="AT249" i="10"/>
  <c r="AJ249" i="10"/>
  <c r="AG249" i="10"/>
  <c r="AD249" i="10"/>
  <c r="AA249" i="10"/>
  <c r="AW264" i="10"/>
  <c r="AJ264" i="10"/>
  <c r="AG264" i="10"/>
  <c r="AD264" i="10"/>
  <c r="AA264" i="10"/>
  <c r="BK34" i="10"/>
  <c r="BE49" i="10"/>
  <c r="BK112" i="10"/>
  <c r="BE174" i="10"/>
  <c r="BK219" i="10"/>
  <c r="BE234" i="10"/>
  <c r="AT15" i="10"/>
  <c r="BK11" i="10"/>
  <c r="AT43" i="10"/>
  <c r="AZ97" i="10"/>
  <c r="AW66" i="10"/>
  <c r="AA66" i="10"/>
  <c r="AJ66" i="10"/>
  <c r="AD66" i="10"/>
  <c r="AG66" i="10"/>
  <c r="AT251" i="10"/>
  <c r="AD251" i="10"/>
  <c r="AA251" i="10"/>
  <c r="AJ251" i="10"/>
  <c r="AG251" i="10"/>
  <c r="AW82" i="10"/>
  <c r="AD82" i="10"/>
  <c r="AA82" i="10"/>
  <c r="AG82" i="10"/>
  <c r="AJ82" i="10"/>
  <c r="AQ192" i="10"/>
  <c r="AJ192" i="10"/>
  <c r="AG192" i="10"/>
  <c r="AD192" i="10"/>
  <c r="AA192" i="10"/>
  <c r="AJ87" i="10"/>
  <c r="AG87" i="10"/>
  <c r="AD87" i="10"/>
  <c r="AA87" i="10"/>
  <c r="AJ241" i="10"/>
  <c r="AG241" i="10"/>
  <c r="AD241" i="10"/>
  <c r="AA241" i="10"/>
  <c r="N121" i="10"/>
  <c r="AA121" i="10"/>
  <c r="AG121" i="10"/>
  <c r="AD121" i="10"/>
  <c r="AJ121" i="10"/>
  <c r="AT197" i="10"/>
  <c r="AD197" i="10"/>
  <c r="AA197" i="10"/>
  <c r="AJ197" i="10"/>
  <c r="AG197" i="10"/>
  <c r="AT19" i="10"/>
  <c r="AD19" i="10"/>
  <c r="AA19" i="10"/>
  <c r="AG19" i="10"/>
  <c r="AJ19" i="10"/>
  <c r="AT49" i="10"/>
  <c r="AD49" i="10"/>
  <c r="AA49" i="10"/>
  <c r="AJ49" i="10"/>
  <c r="AG49" i="10"/>
  <c r="AT79" i="10"/>
  <c r="AD79" i="10"/>
  <c r="AA79" i="10"/>
  <c r="AJ79" i="10"/>
  <c r="AG79" i="10"/>
  <c r="AG112" i="10"/>
  <c r="AD112" i="10"/>
  <c r="AA112" i="10"/>
  <c r="AJ112" i="10"/>
  <c r="AW128" i="10"/>
  <c r="AG128" i="10"/>
  <c r="AD128" i="10"/>
  <c r="AA128" i="10"/>
  <c r="AJ128" i="10"/>
  <c r="AZ159" i="10"/>
  <c r="AG159" i="10"/>
  <c r="AD159" i="10"/>
  <c r="AA159" i="10"/>
  <c r="AJ159" i="10"/>
  <c r="AJ20" i="10"/>
  <c r="AG20" i="10"/>
  <c r="AD20" i="10"/>
  <c r="AA20" i="10"/>
  <c r="AT35" i="10"/>
  <c r="AJ35" i="10"/>
  <c r="AG35" i="10"/>
  <c r="AD35" i="10"/>
  <c r="AA35" i="10"/>
  <c r="AJ50" i="10"/>
  <c r="AG50" i="10"/>
  <c r="AD50" i="10"/>
  <c r="AA50" i="10"/>
  <c r="AQ65" i="10"/>
  <c r="AJ65" i="10"/>
  <c r="AG65" i="10"/>
  <c r="AD65" i="10"/>
  <c r="AA65" i="10"/>
  <c r="AJ80" i="10"/>
  <c r="AG80" i="10"/>
  <c r="AD80" i="10"/>
  <c r="AA80" i="10"/>
  <c r="AJ96" i="10"/>
  <c r="AG96" i="10"/>
  <c r="AD96" i="10"/>
  <c r="AA96" i="10"/>
  <c r="AW113" i="10"/>
  <c r="AJ113" i="10"/>
  <c r="AG113" i="10"/>
  <c r="AD113" i="10"/>
  <c r="AA113" i="10"/>
  <c r="AJ129" i="10"/>
  <c r="AG129" i="10"/>
  <c r="AD129" i="10"/>
  <c r="AA129" i="10"/>
  <c r="AT145" i="10"/>
  <c r="AJ145" i="10"/>
  <c r="AG145" i="10"/>
  <c r="AD145" i="10"/>
  <c r="AA145" i="10"/>
  <c r="AJ160" i="10"/>
  <c r="AG160" i="10"/>
  <c r="AD160" i="10"/>
  <c r="AA160" i="10"/>
  <c r="AT175" i="10"/>
  <c r="AJ175" i="10"/>
  <c r="AG175" i="10"/>
  <c r="AD175" i="10"/>
  <c r="AA175" i="10"/>
  <c r="AZ190" i="10"/>
  <c r="AJ190" i="10"/>
  <c r="AG190" i="10"/>
  <c r="AD190" i="10"/>
  <c r="AA190" i="10"/>
  <c r="AJ205" i="10"/>
  <c r="AG205" i="10"/>
  <c r="AD205" i="10"/>
  <c r="AA205" i="10"/>
  <c r="AZ220" i="10"/>
  <c r="AJ220" i="10"/>
  <c r="AG220" i="10"/>
  <c r="AA220" i="10"/>
  <c r="AD220" i="10"/>
  <c r="AW235" i="10"/>
  <c r="AJ235" i="10"/>
  <c r="AG235" i="10"/>
  <c r="AD235" i="10"/>
  <c r="AA235" i="10"/>
  <c r="AW250" i="10"/>
  <c r="AJ250" i="10"/>
  <c r="AG250" i="10"/>
  <c r="AD250" i="10"/>
  <c r="AA250" i="10"/>
  <c r="AT265" i="10"/>
  <c r="AJ265" i="10"/>
  <c r="AG265" i="10"/>
  <c r="AD265" i="10"/>
  <c r="AA265" i="10"/>
  <c r="BK65" i="10"/>
  <c r="BG80" i="10"/>
  <c r="BI80" i="10"/>
  <c r="BK113" i="10"/>
  <c r="BK160" i="10"/>
  <c r="BE175" i="10"/>
  <c r="G57" i="9" s="1"/>
  <c r="BG220" i="10"/>
  <c r="BI220" i="10"/>
  <c r="BK220" i="10"/>
  <c r="BE235" i="10"/>
  <c r="AQ46" i="10"/>
  <c r="AQ79" i="10"/>
  <c r="AZ88" i="10"/>
  <c r="AW137" i="10"/>
  <c r="AW183" i="10"/>
  <c r="BE219" i="10"/>
  <c r="AT219" i="10"/>
  <c r="AZ228" i="10"/>
  <c r="BK226" i="10"/>
  <c r="BI237" i="10"/>
  <c r="BG236" i="10"/>
  <c r="BG235" i="10"/>
  <c r="BE233" i="10"/>
  <c r="BI211" i="10"/>
  <c r="BE221" i="10"/>
  <c r="BE220" i="10"/>
  <c r="BK256" i="10"/>
  <c r="BK241" i="10"/>
  <c r="BK204" i="10"/>
  <c r="BK205" i="10"/>
  <c r="BK192" i="10"/>
  <c r="BK104" i="10"/>
  <c r="BK43" i="10"/>
  <c r="BK67" i="10"/>
  <c r="BI65" i="10"/>
  <c r="BI267" i="10"/>
  <c r="BI203" i="10"/>
  <c r="BI204" i="10"/>
  <c r="BI189" i="10"/>
  <c r="BI190" i="10"/>
  <c r="BI191" i="10"/>
  <c r="BI127" i="10"/>
  <c r="BI129" i="10"/>
  <c r="BI41" i="10"/>
  <c r="BI51" i="10"/>
  <c r="BI52" i="10"/>
  <c r="BG266" i="10"/>
  <c r="BG249" i="10"/>
  <c r="BG250" i="10"/>
  <c r="BG189" i="10"/>
  <c r="BG89" i="10"/>
  <c r="BG90" i="10"/>
  <c r="BG76" i="10"/>
  <c r="BE248" i="10"/>
  <c r="BE249" i="10"/>
  <c r="BE250" i="10"/>
  <c r="BE198" i="10"/>
  <c r="BE199" i="10"/>
  <c r="BE189" i="10"/>
  <c r="BE137" i="10"/>
  <c r="BE139" i="10"/>
  <c r="BE124" i="10"/>
  <c r="BE125" i="10"/>
  <c r="BE129" i="10"/>
  <c r="BE75" i="10"/>
  <c r="BE76" i="10"/>
  <c r="BI34" i="10"/>
  <c r="BI33" i="10"/>
  <c r="BG32" i="10"/>
  <c r="BI166" i="10"/>
  <c r="BI167" i="10"/>
  <c r="BI169" i="10"/>
  <c r="BI170" i="10"/>
  <c r="BG67" i="10"/>
  <c r="BE64" i="10"/>
  <c r="BK13" i="10"/>
  <c r="BI16" i="10"/>
  <c r="BI13" i="10"/>
  <c r="BK14" i="10"/>
  <c r="BI11" i="10"/>
  <c r="BG11" i="10"/>
  <c r="BG12" i="10"/>
  <c r="AQ66" i="10"/>
  <c r="BG192" i="10"/>
  <c r="BK222" i="10"/>
  <c r="AQ98" i="10"/>
  <c r="AQ113" i="10"/>
  <c r="BK56" i="10"/>
  <c r="BE166" i="10"/>
  <c r="C57" i="9" s="1"/>
  <c r="BG181" i="10"/>
  <c r="BK196" i="10"/>
  <c r="AZ37" i="10"/>
  <c r="BJ37" i="10" s="1"/>
  <c r="AQ114" i="10"/>
  <c r="AQ161" i="10"/>
  <c r="BK106" i="10"/>
  <c r="BK213" i="10"/>
  <c r="BG27" i="10"/>
  <c r="AT56" i="10"/>
  <c r="AT212" i="10"/>
  <c r="BK44" i="10"/>
  <c r="BK90" i="10"/>
  <c r="BK107" i="10"/>
  <c r="BI123" i="10"/>
  <c r="BG139" i="10"/>
  <c r="BK154" i="10"/>
  <c r="BK169" i="10"/>
  <c r="BE184" i="10"/>
  <c r="BG184" i="10"/>
  <c r="BG199" i="10"/>
  <c r="BI199" i="10"/>
  <c r="BK199" i="10"/>
  <c r="BI214" i="10"/>
  <c r="BK214" i="10"/>
  <c r="BE229" i="10"/>
  <c r="BK229" i="10"/>
  <c r="BE244" i="10"/>
  <c r="BG244" i="10"/>
  <c r="BI259" i="10"/>
  <c r="BK259" i="10"/>
  <c r="AZ11" i="10"/>
  <c r="AZ19" i="10"/>
  <c r="AT28" i="10"/>
  <c r="AQ41" i="10"/>
  <c r="AQ49" i="10"/>
  <c r="AW51" i="10"/>
  <c r="AZ49" i="10"/>
  <c r="BG72" i="10"/>
  <c r="AT82" i="10"/>
  <c r="AQ106" i="10"/>
  <c r="AT130" i="10"/>
  <c r="AW127" i="10"/>
  <c r="AT144" i="10"/>
  <c r="AQ162" i="10"/>
  <c r="AW167" i="10"/>
  <c r="AZ183" i="10"/>
  <c r="BJ183" i="10" s="1"/>
  <c r="AQ206" i="10"/>
  <c r="AW227" i="10"/>
  <c r="AT246" i="10"/>
  <c r="AQ36" i="10"/>
  <c r="BE226" i="10"/>
  <c r="BG52" i="10"/>
  <c r="BE227" i="10"/>
  <c r="AZ182" i="10"/>
  <c r="BG43" i="10"/>
  <c r="AZ28" i="10"/>
  <c r="AT66" i="10"/>
  <c r="BE89" i="10"/>
  <c r="AQ152" i="10"/>
  <c r="BI74" i="10"/>
  <c r="BI90" i="10"/>
  <c r="BK123" i="10"/>
  <c r="BG154" i="10"/>
  <c r="BI154" i="10"/>
  <c r="BE169" i="10"/>
  <c r="F57" i="9" s="1"/>
  <c r="BE19" i="10"/>
  <c r="BG16" i="10"/>
  <c r="BK15" i="10"/>
  <c r="BE30" i="10"/>
  <c r="BI30" i="10"/>
  <c r="BG45" i="10"/>
  <c r="BK45" i="10"/>
  <c r="BE60" i="10"/>
  <c r="BI60" i="10"/>
  <c r="BI75" i="10"/>
  <c r="BK75" i="10"/>
  <c r="BI91" i="10"/>
  <c r="BK91" i="10"/>
  <c r="BG108" i="10"/>
  <c r="BI108" i="10"/>
  <c r="BK108" i="10"/>
  <c r="BG124" i="10"/>
  <c r="BI124" i="10"/>
  <c r="BK124" i="10"/>
  <c r="BG140" i="10"/>
  <c r="BG155" i="10"/>
  <c r="BI155" i="10"/>
  <c r="BK155" i="10"/>
  <c r="BE170" i="10"/>
  <c r="BK170" i="10"/>
  <c r="BE185" i="10"/>
  <c r="BG185" i="10"/>
  <c r="BE200" i="10"/>
  <c r="BG200" i="10"/>
  <c r="BI200" i="10"/>
  <c r="BK200" i="10"/>
  <c r="BI215" i="10"/>
  <c r="BK215" i="10"/>
  <c r="BE230" i="10"/>
  <c r="BK230" i="10"/>
  <c r="BE245" i="10"/>
  <c r="BG245" i="10"/>
  <c r="BG260" i="10"/>
  <c r="BI260" i="10"/>
  <c r="BK260" i="10"/>
  <c r="AQ13" i="10"/>
  <c r="AQ32" i="10"/>
  <c r="BD32" i="10" s="1"/>
  <c r="AT37" i="10"/>
  <c r="AW43" i="10"/>
  <c r="AT67" i="10"/>
  <c r="AW64" i="10"/>
  <c r="AT73" i="10"/>
  <c r="AZ79" i="10"/>
  <c r="AT89" i="10"/>
  <c r="AT121" i="10"/>
  <c r="AQ153" i="10"/>
  <c r="AW177" i="10"/>
  <c r="AQ197" i="10"/>
  <c r="AT213" i="10"/>
  <c r="AW221" i="10"/>
  <c r="AT266" i="10"/>
  <c r="AZ264" i="10"/>
  <c r="BK52" i="10"/>
  <c r="BK207" i="10"/>
  <c r="BK237" i="10"/>
  <c r="BK136" i="10"/>
  <c r="BE241" i="10"/>
  <c r="AQ105" i="10"/>
  <c r="BK153" i="10"/>
  <c r="BG183" i="10"/>
  <c r="AQ73" i="10"/>
  <c r="AQ137" i="10"/>
  <c r="AQ213" i="10"/>
  <c r="BG44" i="10"/>
  <c r="BE59" i="10"/>
  <c r="BI107" i="10"/>
  <c r="BI139" i="10"/>
  <c r="BG17" i="10"/>
  <c r="BE31" i="10"/>
  <c r="BI31" i="10"/>
  <c r="BE46" i="10"/>
  <c r="BK46" i="10"/>
  <c r="BG61" i="10"/>
  <c r="BK76" i="10"/>
  <c r="BI125" i="10"/>
  <c r="BI141" i="10"/>
  <c r="BI171" i="10"/>
  <c r="BE201" i="10"/>
  <c r="BI216" i="10"/>
  <c r="BI231" i="10"/>
  <c r="BE246" i="10"/>
  <c r="BG261" i="10"/>
  <c r="BI261" i="10"/>
  <c r="BK261" i="10"/>
  <c r="AQ12" i="10"/>
  <c r="BK12" i="10"/>
  <c r="AW35" i="10"/>
  <c r="AT47" i="10"/>
  <c r="AT58" i="10"/>
  <c r="BE153" i="10"/>
  <c r="AW168" i="10"/>
  <c r="AQ207" i="10"/>
  <c r="AW212" i="10"/>
  <c r="AW228" i="10"/>
  <c r="AZ235" i="10"/>
  <c r="BE12" i="10"/>
  <c r="BG41" i="10"/>
  <c r="BG241" i="10"/>
  <c r="AW251" i="10"/>
  <c r="BE182" i="10"/>
  <c r="AW41" i="10"/>
  <c r="AT81" i="10"/>
  <c r="BI58" i="10"/>
  <c r="BK73" i="10"/>
  <c r="BK168" i="10"/>
  <c r="BG198" i="10"/>
  <c r="BE243" i="10"/>
  <c r="BK258" i="10"/>
  <c r="AT168" i="10"/>
  <c r="BI32" i="10"/>
  <c r="BE47" i="10"/>
  <c r="BI47" i="10"/>
  <c r="BK47" i="10"/>
  <c r="BG62" i="10"/>
  <c r="BI62" i="10"/>
  <c r="BG77" i="10"/>
  <c r="BI77" i="10"/>
  <c r="BK77" i="10"/>
  <c r="BI93" i="10"/>
  <c r="BG110" i="10"/>
  <c r="BI110" i="10"/>
  <c r="BI126" i="10"/>
  <c r="BE157" i="10"/>
  <c r="BG157" i="10"/>
  <c r="BI157" i="10"/>
  <c r="BI172" i="10"/>
  <c r="BK172" i="10"/>
  <c r="BE187" i="10"/>
  <c r="BI202" i="10"/>
  <c r="BI217" i="10"/>
  <c r="BK217" i="10"/>
  <c r="BK232" i="10"/>
  <c r="BK247" i="10"/>
  <c r="BE262" i="10"/>
  <c r="BG262" i="10"/>
  <c r="BI262" i="10"/>
  <c r="BK262" i="10"/>
  <c r="AT11" i="10"/>
  <c r="AZ13" i="10"/>
  <c r="AQ43" i="10"/>
  <c r="AZ51" i="10"/>
  <c r="AW56" i="10"/>
  <c r="BI72" i="10"/>
  <c r="AW88" i="10"/>
  <c r="AZ95" i="10"/>
  <c r="AT106" i="10"/>
  <c r="AT122" i="10"/>
  <c r="AZ128" i="10"/>
  <c r="AW162" i="10"/>
  <c r="AQ198" i="10"/>
  <c r="AW222" i="10"/>
  <c r="AZ221" i="10"/>
  <c r="AT258" i="10"/>
  <c r="BE176" i="10"/>
  <c r="H57" i="9" s="1"/>
  <c r="AZ131" i="10"/>
  <c r="BE56" i="10"/>
  <c r="BK120" i="10"/>
  <c r="BE211" i="10"/>
  <c r="AQ67" i="10"/>
  <c r="AT227" i="10"/>
  <c r="BE28" i="10"/>
  <c r="BI258" i="10"/>
  <c r="BG81" i="10"/>
  <c r="AW176" i="10"/>
  <c r="AW243" i="10"/>
  <c r="BE29" i="10"/>
  <c r="BK17" i="10"/>
  <c r="BK18" i="10"/>
  <c r="BG33" i="10"/>
  <c r="BE48" i="10"/>
  <c r="BI48" i="10"/>
  <c r="BK48" i="10"/>
  <c r="BG63" i="10"/>
  <c r="BG78" i="10"/>
  <c r="BG94" i="10"/>
  <c r="BI94" i="10"/>
  <c r="BE111" i="10"/>
  <c r="BG111" i="10"/>
  <c r="BI111" i="10"/>
  <c r="BE127" i="10"/>
  <c r="BG127" i="10"/>
  <c r="BE143" i="10"/>
  <c r="BE158" i="10"/>
  <c r="BG158" i="10"/>
  <c r="BI158" i="10"/>
  <c r="BI173" i="10"/>
  <c r="BK173" i="10"/>
  <c r="BE188" i="10"/>
  <c r="BK188" i="10"/>
  <c r="BE203" i="10"/>
  <c r="BG203" i="10"/>
  <c r="BG218" i="10"/>
  <c r="BI218" i="10"/>
  <c r="BK218" i="10"/>
  <c r="BI233" i="10"/>
  <c r="BK233" i="10"/>
  <c r="BK248" i="10"/>
  <c r="BE263" i="10"/>
  <c r="BG263" i="10"/>
  <c r="BI263" i="10"/>
  <c r="BK263" i="10"/>
  <c r="AT21" i="10"/>
  <c r="AQ34" i="10"/>
  <c r="BD34" i="10" s="1"/>
  <c r="BI27" i="10"/>
  <c r="AW36" i="10"/>
  <c r="AQ52" i="10"/>
  <c r="AZ81" i="10"/>
  <c r="AW105" i="10"/>
  <c r="AW121" i="10"/>
  <c r="AT138" i="10"/>
  <c r="AT153" i="10"/>
  <c r="AW152" i="10"/>
  <c r="AW213" i="10"/>
  <c r="BE236" i="10"/>
  <c r="BI37" i="10"/>
  <c r="AZ36" i="10"/>
  <c r="BE26" i="10"/>
  <c r="BG166" i="10"/>
  <c r="C59" i="9" s="1"/>
  <c r="BI181" i="10"/>
  <c r="BG13" i="10"/>
  <c r="BI28" i="10"/>
  <c r="BK122" i="10"/>
  <c r="BE183" i="10"/>
  <c r="BK198" i="10"/>
  <c r="BG243" i="10"/>
  <c r="BE20" i="10"/>
  <c r="BI59" i="10"/>
  <c r="BI19" i="10"/>
  <c r="BG34" i="10"/>
  <c r="BI49" i="10"/>
  <c r="BG64" i="10"/>
  <c r="BE79" i="10"/>
  <c r="BG79" i="10"/>
  <c r="BI79" i="10"/>
  <c r="BG95" i="10"/>
  <c r="BI95" i="10"/>
  <c r="BE112" i="10"/>
  <c r="BI112" i="10"/>
  <c r="BE128" i="10"/>
  <c r="BG128" i="10"/>
  <c r="BE144" i="10"/>
  <c r="BE159" i="10"/>
  <c r="BG159" i="10"/>
  <c r="BI159" i="10"/>
  <c r="BI174" i="10"/>
  <c r="BK174" i="10"/>
  <c r="BE204" i="10"/>
  <c r="BI219" i="10"/>
  <c r="BG234" i="10"/>
  <c r="BI234" i="10"/>
  <c r="BI249" i="10"/>
  <c r="BK249" i="10"/>
  <c r="BE264" i="10"/>
  <c r="BG264" i="10"/>
  <c r="BI264" i="10"/>
  <c r="AQ26" i="10"/>
  <c r="AZ52" i="10"/>
  <c r="AW67" i="10"/>
  <c r="AW89" i="10"/>
  <c r="AZ144" i="10"/>
  <c r="BE192" i="10"/>
  <c r="AW207" i="10"/>
  <c r="BK227" i="10"/>
  <c r="T75" i="10"/>
  <c r="AW75" i="10"/>
  <c r="AZ75" i="10"/>
  <c r="AQ75" i="10"/>
  <c r="AQ215" i="10"/>
  <c r="AT215" i="10"/>
  <c r="AZ215" i="10"/>
  <c r="AW215" i="10"/>
  <c r="AQ31" i="10"/>
  <c r="AT31" i="10"/>
  <c r="AW31" i="10"/>
  <c r="AZ31" i="10"/>
  <c r="T46" i="10"/>
  <c r="AW46" i="10"/>
  <c r="AZ46" i="10"/>
  <c r="AQ61" i="10"/>
  <c r="AT61" i="10"/>
  <c r="AZ76" i="10"/>
  <c r="AQ76" i="10"/>
  <c r="AT76" i="10"/>
  <c r="AZ92" i="10"/>
  <c r="AT92" i="10"/>
  <c r="AW92" i="10"/>
  <c r="K109" i="10"/>
  <c r="AQ109" i="10"/>
  <c r="AW109" i="10"/>
  <c r="AZ109" i="10"/>
  <c r="N125" i="10"/>
  <c r="BF125" i="10" s="1"/>
  <c r="AT125" i="10"/>
  <c r="AW125" i="10"/>
  <c r="AQ125" i="10"/>
  <c r="AZ125" i="10"/>
  <c r="AZ141" i="10"/>
  <c r="AT141" i="10"/>
  <c r="AW141" i="10"/>
  <c r="AQ156" i="10"/>
  <c r="AZ156" i="10"/>
  <c r="AW156" i="10"/>
  <c r="T171" i="10"/>
  <c r="AT171" i="10"/>
  <c r="AW171" i="10"/>
  <c r="AQ171" i="10"/>
  <c r="AZ186" i="10"/>
  <c r="AT186" i="10"/>
  <c r="AQ186" i="10"/>
  <c r="AW186" i="10"/>
  <c r="AQ201" i="10"/>
  <c r="AZ201" i="10"/>
  <c r="AW201" i="10"/>
  <c r="AT216" i="10"/>
  <c r="AW216" i="10"/>
  <c r="AZ216" i="10"/>
  <c r="AQ216" i="10"/>
  <c r="AW231" i="10"/>
  <c r="AZ231" i="10"/>
  <c r="AT231" i="10"/>
  <c r="AQ231" i="10"/>
  <c r="BE18" i="10"/>
  <c r="BK16" i="10"/>
  <c r="BI61" i="10"/>
  <c r="BK61" i="10"/>
  <c r="BI76" i="10"/>
  <c r="AZ61" i="10"/>
  <c r="AZ171" i="10"/>
  <c r="AQ246" i="10"/>
  <c r="AW261" i="10"/>
  <c r="AQ29" i="10"/>
  <c r="AT29" i="10"/>
  <c r="AW108" i="10"/>
  <c r="AQ108" i="10"/>
  <c r="N200" i="10"/>
  <c r="AT200" i="10"/>
  <c r="AZ200" i="10"/>
  <c r="AW200" i="10"/>
  <c r="AQ200" i="10"/>
  <c r="BE45" i="10"/>
  <c r="AQ203" i="10"/>
  <c r="AT203" i="10"/>
  <c r="AW203" i="10"/>
  <c r="AW59" i="10"/>
  <c r="AZ59" i="10"/>
  <c r="AQ30" i="10"/>
  <c r="AT30" i="10"/>
  <c r="AW30" i="10"/>
  <c r="AW140" i="10"/>
  <c r="AZ140" i="10"/>
  <c r="AT140" i="10"/>
  <c r="AZ260" i="10"/>
  <c r="AQ260" i="10"/>
  <c r="AT260" i="10"/>
  <c r="AW260" i="10"/>
  <c r="N129" i="10"/>
  <c r="AZ129" i="10"/>
  <c r="AT129" i="10"/>
  <c r="AW129" i="10"/>
  <c r="AQ129" i="10"/>
  <c r="AZ30" i="10"/>
  <c r="AQ59" i="10"/>
  <c r="T14" i="10"/>
  <c r="AW14" i="10"/>
  <c r="AZ14" i="10"/>
  <c r="AQ14" i="10"/>
  <c r="AW74" i="10"/>
  <c r="AZ74" i="10"/>
  <c r="AQ74" i="10"/>
  <c r="AZ107" i="10"/>
  <c r="AT107" i="10"/>
  <c r="AW107" i="10"/>
  <c r="AT139" i="10"/>
  <c r="AW139" i="10"/>
  <c r="AQ139" i="10"/>
  <c r="AZ139" i="10"/>
  <c r="AQ169" i="10"/>
  <c r="AZ169" i="10"/>
  <c r="AT169" i="10"/>
  <c r="AZ199" i="10"/>
  <c r="AT199" i="10"/>
  <c r="AQ229" i="10"/>
  <c r="AT229" i="10"/>
  <c r="AW229" i="10"/>
  <c r="AZ229" i="10"/>
  <c r="AZ259" i="10"/>
  <c r="AQ259" i="10"/>
  <c r="AW259" i="10"/>
  <c r="AT259" i="10"/>
  <c r="BG15" i="10"/>
  <c r="BI29" i="10"/>
  <c r="AT59" i="10"/>
  <c r="T15" i="10"/>
  <c r="AZ15" i="10"/>
  <c r="AZ60" i="10"/>
  <c r="AQ60" i="10"/>
  <c r="N124" i="10"/>
  <c r="AQ124" i="10"/>
  <c r="AT124" i="10"/>
  <c r="AW124" i="10"/>
  <c r="AZ124" i="10"/>
  <c r="AQ170" i="10"/>
  <c r="AT170" i="10"/>
  <c r="AZ170" i="10"/>
  <c r="AW170" i="10"/>
  <c r="AT230" i="10"/>
  <c r="AW230" i="10"/>
  <c r="AZ230" i="10"/>
  <c r="AZ33" i="10"/>
  <c r="AW33" i="10"/>
  <c r="AT33" i="10"/>
  <c r="AQ33" i="10"/>
  <c r="AZ63" i="10"/>
  <c r="AW63" i="10"/>
  <c r="AT63" i="10"/>
  <c r="AQ63" i="10"/>
  <c r="AZ94" i="10"/>
  <c r="AW94" i="10"/>
  <c r="AQ94" i="10"/>
  <c r="AT127" i="10"/>
  <c r="AZ127" i="10"/>
  <c r="AQ158" i="10"/>
  <c r="AT158" i="10"/>
  <c r="AW158" i="10"/>
  <c r="N188" i="10"/>
  <c r="AZ188" i="10"/>
  <c r="AQ188" i="10"/>
  <c r="AW188" i="10"/>
  <c r="AZ233" i="10"/>
  <c r="AT233" i="10"/>
  <c r="AQ233" i="10"/>
  <c r="AZ263" i="10"/>
  <c r="AW263" i="10"/>
  <c r="AT263" i="10"/>
  <c r="AQ263" i="10"/>
  <c r="BI78" i="10"/>
  <c r="BG143" i="10"/>
  <c r="AZ158" i="10"/>
  <c r="AT74" i="10"/>
  <c r="AQ50" i="10"/>
  <c r="AT50" i="10"/>
  <c r="AW50" i="10"/>
  <c r="T65" i="10"/>
  <c r="AT65" i="10"/>
  <c r="AW65" i="10"/>
  <c r="AZ65" i="10"/>
  <c r="AT96" i="10"/>
  <c r="AW96" i="10"/>
  <c r="AQ96" i="10"/>
  <c r="AZ96" i="10"/>
  <c r="AT113" i="10"/>
  <c r="AZ113" i="10"/>
  <c r="AT160" i="10"/>
  <c r="AW160" i="10"/>
  <c r="AZ160" i="10"/>
  <c r="AQ160" i="10"/>
  <c r="AT46" i="10"/>
  <c r="BI161" i="10"/>
  <c r="BI176" i="10"/>
  <c r="AW60" i="10"/>
  <c r="AT75" i="10"/>
  <c r="AQ92" i="10"/>
  <c r="AT201" i="10"/>
  <c r="AW199" i="10"/>
  <c r="AZ50" i="10"/>
  <c r="AQ107" i="10"/>
  <c r="AZ108" i="10"/>
  <c r="AW169" i="10"/>
  <c r="AZ246" i="10"/>
  <c r="AQ44" i="10"/>
  <c r="AT44" i="10"/>
  <c r="AW44" i="10"/>
  <c r="AZ44" i="10"/>
  <c r="T90" i="10"/>
  <c r="AT90" i="10"/>
  <c r="AW90" i="10"/>
  <c r="AQ90" i="10"/>
  <c r="AZ90" i="10"/>
  <c r="N123" i="10"/>
  <c r="AQ123" i="10"/>
  <c r="AW123" i="10"/>
  <c r="AZ123" i="10"/>
  <c r="AZ154" i="10"/>
  <c r="AT154" i="10"/>
  <c r="T184" i="10"/>
  <c r="AT184" i="10"/>
  <c r="AW184" i="10"/>
  <c r="AZ184" i="10"/>
  <c r="AQ214" i="10"/>
  <c r="AZ214" i="10"/>
  <c r="AT214" i="10"/>
  <c r="AT244" i="10"/>
  <c r="AZ244" i="10"/>
  <c r="AQ244" i="10"/>
  <c r="AW244" i="10"/>
  <c r="AT45" i="10"/>
  <c r="AW45" i="10"/>
  <c r="AZ45" i="10"/>
  <c r="AW91" i="10"/>
  <c r="AZ91" i="10"/>
  <c r="AT91" i="10"/>
  <c r="AT155" i="10"/>
  <c r="AZ155" i="10"/>
  <c r="AW155" i="10"/>
  <c r="AQ155" i="10"/>
  <c r="AW185" i="10"/>
  <c r="AZ185" i="10"/>
  <c r="AT185" i="10"/>
  <c r="AQ185" i="10"/>
  <c r="AT245" i="10"/>
  <c r="AW245" i="10"/>
  <c r="AZ245" i="10"/>
  <c r="AQ245" i="10"/>
  <c r="BI140" i="10"/>
  <c r="AW15" i="10"/>
  <c r="AT123" i="10"/>
  <c r="AQ154" i="10"/>
  <c r="AQ18" i="10"/>
  <c r="AZ18" i="10"/>
  <c r="AW18" i="10"/>
  <c r="AT18" i="10"/>
  <c r="AZ48" i="10"/>
  <c r="AW48" i="10"/>
  <c r="AT48" i="10"/>
  <c r="AQ48" i="10"/>
  <c r="T78" i="10"/>
  <c r="AW78" i="10"/>
  <c r="AT78" i="10"/>
  <c r="AQ78" i="10"/>
  <c r="AZ78" i="10"/>
  <c r="AT111" i="10"/>
  <c r="AQ111" i="10"/>
  <c r="AZ111" i="10"/>
  <c r="AZ143" i="10"/>
  <c r="AW143" i="10"/>
  <c r="AQ143" i="10"/>
  <c r="T173" i="10"/>
  <c r="AT173" i="10"/>
  <c r="AW173" i="10"/>
  <c r="AZ173" i="10"/>
  <c r="AQ173" i="10"/>
  <c r="AT218" i="10"/>
  <c r="AW218" i="10"/>
  <c r="AZ218" i="10"/>
  <c r="AQ218" i="10"/>
  <c r="AZ248" i="10"/>
  <c r="AW248" i="10"/>
  <c r="AT248" i="10"/>
  <c r="AQ248" i="10"/>
  <c r="BG188" i="10"/>
  <c r="BK203" i="10"/>
  <c r="AZ29" i="10"/>
  <c r="BG20" i="10"/>
  <c r="AW16" i="10"/>
  <c r="AQ91" i="10"/>
  <c r="AT20" i="10"/>
  <c r="AQ20" i="10"/>
  <c r="AW20" i="10"/>
  <c r="AZ20" i="10"/>
  <c r="AZ35" i="10"/>
  <c r="AQ35" i="10"/>
  <c r="AZ80" i="10"/>
  <c r="AT80" i="10"/>
  <c r="AW80" i="10"/>
  <c r="AT14" i="10"/>
  <c r="AW61" i="10"/>
  <c r="AQ80" i="10"/>
  <c r="AT156" i="10"/>
  <c r="AW154" i="10"/>
  <c r="AT188" i="10"/>
  <c r="AQ261" i="10"/>
  <c r="T77" i="10"/>
  <c r="AZ77" i="10"/>
  <c r="AW77" i="10"/>
  <c r="AT77" i="10"/>
  <c r="AQ77" i="10"/>
  <c r="AZ93" i="10"/>
  <c r="AW93" i="10"/>
  <c r="AT93" i="10"/>
  <c r="AQ93" i="10"/>
  <c r="AZ110" i="10"/>
  <c r="AW110" i="10"/>
  <c r="AT110" i="10"/>
  <c r="AQ110" i="10"/>
  <c r="AZ126" i="10"/>
  <c r="AW126" i="10"/>
  <c r="AT126" i="10"/>
  <c r="AQ126" i="10"/>
  <c r="AZ142" i="10"/>
  <c r="AW142" i="10"/>
  <c r="AT142" i="10"/>
  <c r="AQ142" i="10"/>
  <c r="AZ157" i="10"/>
  <c r="AW157" i="10"/>
  <c r="AT157" i="10"/>
  <c r="AQ157" i="10"/>
  <c r="T172" i="10"/>
  <c r="AZ172" i="10"/>
  <c r="AW172" i="10"/>
  <c r="AT172" i="10"/>
  <c r="AQ172" i="10"/>
  <c r="AZ187" i="10"/>
  <c r="AW187" i="10"/>
  <c r="AT187" i="10"/>
  <c r="AQ187" i="10"/>
  <c r="AZ202" i="10"/>
  <c r="AW202" i="10"/>
  <c r="AT202" i="10"/>
  <c r="AQ202" i="10"/>
  <c r="T217" i="10"/>
  <c r="AZ217" i="10"/>
  <c r="AW217" i="10"/>
  <c r="AT217" i="10"/>
  <c r="AQ217" i="10"/>
  <c r="AZ232" i="10"/>
  <c r="AW232" i="10"/>
  <c r="AT232" i="10"/>
  <c r="AQ232" i="10"/>
  <c r="AZ247" i="10"/>
  <c r="AW247" i="10"/>
  <c r="AT247" i="10"/>
  <c r="AQ247" i="10"/>
  <c r="AZ262" i="10"/>
  <c r="AW262" i="10"/>
  <c r="AT262" i="10"/>
  <c r="AQ262" i="10"/>
  <c r="BE93" i="10"/>
  <c r="BG93" i="10"/>
  <c r="BK93" i="10"/>
  <c r="BE126" i="10"/>
  <c r="BG126" i="10"/>
  <c r="BE142" i="10"/>
  <c r="BG142" i="10"/>
  <c r="BK142" i="10"/>
  <c r="BK157" i="10"/>
  <c r="BG172" i="10"/>
  <c r="BK187" i="10"/>
  <c r="BK202" i="10"/>
  <c r="BG217" i="10"/>
  <c r="BI232" i="10"/>
  <c r="BG247" i="10"/>
  <c r="AW17" i="10"/>
  <c r="AQ47" i="10"/>
  <c r="AW62" i="10"/>
  <c r="AZ64" i="10"/>
  <c r="AQ81" i="10"/>
  <c r="AW79" i="10"/>
  <c r="AQ115" i="10"/>
  <c r="AZ145" i="10"/>
  <c r="AT189" i="10"/>
  <c r="AT220" i="10"/>
  <c r="BG233" i="10"/>
  <c r="AQ112" i="10"/>
  <c r="AW112" i="10"/>
  <c r="AQ159" i="10"/>
  <c r="AT159" i="10"/>
  <c r="AW159" i="10"/>
  <c r="AW174" i="10"/>
  <c r="AZ174" i="10"/>
  <c r="AQ204" i="10"/>
  <c r="AT204" i="10"/>
  <c r="AW204" i="10"/>
  <c r="AW219" i="10"/>
  <c r="AZ219" i="10"/>
  <c r="AZ249" i="10"/>
  <c r="AQ249" i="10"/>
  <c r="BK79" i="10"/>
  <c r="BG112" i="10"/>
  <c r="BI128" i="10"/>
  <c r="BK128" i="10"/>
  <c r="BK144" i="10"/>
  <c r="BG174" i="10"/>
  <c r="BK189" i="10"/>
  <c r="BG219" i="10"/>
  <c r="AZ32" i="10"/>
  <c r="AT62" i="10"/>
  <c r="AQ82" i="10"/>
  <c r="AT112" i="10"/>
  <c r="AW115" i="10"/>
  <c r="AT146" i="10"/>
  <c r="AT176" i="10"/>
  <c r="AZ176" i="10"/>
  <c r="AQ251" i="10"/>
  <c r="AZ251" i="10"/>
  <c r="AZ250" i="10"/>
  <c r="AQ250" i="10"/>
  <c r="AT250" i="10"/>
  <c r="BK80" i="10"/>
  <c r="AT205" i="10"/>
  <c r="AW205" i="10"/>
  <c r="AZ205" i="10"/>
  <c r="BG21" i="10"/>
  <c r="BK35" i="10"/>
  <c r="BE190" i="10"/>
  <c r="N114" i="10"/>
  <c r="AW114" i="10"/>
  <c r="AQ146" i="10"/>
  <c r="AW146" i="10"/>
  <c r="AQ191" i="10"/>
  <c r="AT191" i="10"/>
  <c r="AW191" i="10"/>
  <c r="T221" i="10"/>
  <c r="BJ221" i="10" s="1"/>
  <c r="AQ221" i="10"/>
  <c r="AZ266" i="10"/>
  <c r="AQ266" i="10"/>
  <c r="BI21" i="10"/>
  <c r="BI66" i="10"/>
  <c r="BE161" i="10"/>
  <c r="BE191" i="10"/>
  <c r="BG191" i="10"/>
  <c r="BE206" i="10"/>
  <c r="BG206" i="10"/>
  <c r="BI206" i="10"/>
  <c r="BK206" i="10"/>
  <c r="AW32" i="10"/>
  <c r="AQ62" i="10"/>
  <c r="AZ66" i="10"/>
  <c r="AW81" i="10"/>
  <c r="AQ131" i="10"/>
  <c r="AW130" i="10"/>
  <c r="AT162" i="10"/>
  <c r="AT207" i="10"/>
  <c r="AQ252" i="10"/>
  <c r="T175" i="10"/>
  <c r="AZ175" i="10"/>
  <c r="AQ190" i="10"/>
  <c r="AT190" i="10"/>
  <c r="AQ235" i="10"/>
  <c r="AT235" i="10"/>
  <c r="BG65" i="10"/>
  <c r="BE113" i="10"/>
  <c r="BK129" i="10"/>
  <c r="BI160" i="10"/>
  <c r="BK235" i="10"/>
  <c r="BI250" i="10"/>
  <c r="BG265" i="10"/>
  <c r="AW161" i="10"/>
  <c r="AZ161" i="10"/>
  <c r="AW206" i="10"/>
  <c r="AZ206" i="10"/>
  <c r="AQ236" i="10"/>
  <c r="AT236" i="10"/>
  <c r="AW236" i="10"/>
  <c r="BE13" i="10"/>
  <c r="BK36" i="10"/>
  <c r="BE51" i="10"/>
  <c r="BG66" i="10"/>
  <c r="BE81" i="10"/>
  <c r="BE114" i="10"/>
  <c r="BI114" i="10"/>
  <c r="BK114" i="10"/>
  <c r="BG146" i="10"/>
  <c r="BG161" i="10"/>
  <c r="N22" i="10"/>
  <c r="AQ22" i="10"/>
  <c r="AT98" i="10"/>
  <c r="AZ98" i="10"/>
  <c r="AT147" i="10"/>
  <c r="AW147" i="10"/>
  <c r="AZ147" i="10"/>
  <c r="AQ177" i="10"/>
  <c r="AT177" i="10"/>
  <c r="AT192" i="10"/>
  <c r="AW192" i="10"/>
  <c r="AZ192" i="10"/>
  <c r="AQ222" i="10"/>
  <c r="AT222" i="10"/>
  <c r="AT237" i="10"/>
  <c r="AW237" i="10"/>
  <c r="AZ237" i="10"/>
  <c r="AT252" i="10"/>
  <c r="AW252" i="10"/>
  <c r="AZ267" i="10"/>
  <c r="AQ267" i="10"/>
  <c r="AT267" i="10"/>
  <c r="BI22" i="10"/>
  <c r="BE52" i="10"/>
  <c r="BI67" i="10"/>
  <c r="BE82" i="10"/>
  <c r="BE98" i="10"/>
  <c r="BI98" i="10"/>
  <c r="BG115" i="10"/>
  <c r="BI115" i="10"/>
  <c r="BK115" i="10"/>
  <c r="BE147" i="10"/>
  <c r="BI147" i="10"/>
  <c r="BI162" i="10"/>
  <c r="BE177" i="10"/>
  <c r="I57" i="9" s="1"/>
  <c r="BI192" i="10"/>
  <c r="BI207" i="10"/>
  <c r="BE222" i="10"/>
  <c r="BE237" i="10"/>
  <c r="BG237" i="10"/>
  <c r="AZ21" i="10"/>
  <c r="BJ21" i="10" s="1"/>
  <c r="AQ37" i="10"/>
  <c r="AW26" i="10"/>
  <c r="AZ34" i="10"/>
  <c r="AT51" i="10"/>
  <c r="AW52" i="10"/>
  <c r="AT64" i="10"/>
  <c r="AW95" i="10"/>
  <c r="AT114" i="10"/>
  <c r="AZ112" i="10"/>
  <c r="AT128" i="10"/>
  <c r="AQ145" i="10"/>
  <c r="AW144" i="10"/>
  <c r="AQ174" i="10"/>
  <c r="AW189" i="10"/>
  <c r="AQ219" i="10"/>
  <c r="AW265" i="10"/>
  <c r="AZ265" i="10"/>
  <c r="AQ265" i="10"/>
  <c r="BI35" i="10"/>
  <c r="BE80" i="10"/>
  <c r="BG129" i="10"/>
  <c r="BI205" i="10"/>
  <c r="AQ97" i="10"/>
  <c r="AW97" i="10"/>
  <c r="T87" i="10"/>
  <c r="AZ87" i="10"/>
  <c r="AW87" i="10"/>
  <c r="AT87" i="10"/>
  <c r="AQ87" i="10"/>
  <c r="AZ120" i="10"/>
  <c r="AW120" i="10"/>
  <c r="AT120" i="10"/>
  <c r="AQ120" i="10"/>
  <c r="AZ151" i="10"/>
  <c r="AW151" i="10"/>
  <c r="AT151" i="10"/>
  <c r="AQ151" i="10"/>
  <c r="AZ196" i="10"/>
  <c r="AW196" i="10"/>
  <c r="AT196" i="10"/>
  <c r="AQ196" i="10"/>
  <c r="AZ226" i="10"/>
  <c r="AW226" i="10"/>
  <c r="AT226" i="10"/>
  <c r="AQ226" i="10"/>
  <c r="AZ256" i="10"/>
  <c r="AW256" i="10"/>
  <c r="AT256" i="10"/>
  <c r="AQ256" i="10"/>
  <c r="BE87" i="10"/>
  <c r="BG87" i="10"/>
  <c r="BI104" i="10"/>
  <c r="BE120" i="10"/>
  <c r="BE136" i="10"/>
  <c r="BG226" i="10"/>
  <c r="AQ11" i="10"/>
  <c r="AT32" i="10"/>
  <c r="AW131" i="10"/>
  <c r="AW175" i="10"/>
  <c r="AQ205" i="10"/>
  <c r="AW220" i="10"/>
  <c r="AZ234" i="10"/>
  <c r="AW249" i="10"/>
  <c r="AT264" i="10"/>
  <c r="AZ71" i="10"/>
  <c r="AW71" i="10"/>
  <c r="AT71" i="10"/>
  <c r="AQ71" i="10"/>
  <c r="AZ104" i="10"/>
  <c r="AW104" i="10"/>
  <c r="AT104" i="10"/>
  <c r="AQ104" i="10"/>
  <c r="AZ136" i="10"/>
  <c r="AW136" i="10"/>
  <c r="AT136" i="10"/>
  <c r="AQ136" i="10"/>
  <c r="AZ166" i="10"/>
  <c r="AW166" i="10"/>
  <c r="AT166" i="10"/>
  <c r="AQ166" i="10"/>
  <c r="AZ181" i="10"/>
  <c r="AW181" i="10"/>
  <c r="AT181" i="10"/>
  <c r="AQ181" i="10"/>
  <c r="T211" i="10"/>
  <c r="AZ211" i="10"/>
  <c r="AW211" i="10"/>
  <c r="AT211" i="10"/>
  <c r="AQ211" i="10"/>
  <c r="K241" i="10"/>
  <c r="AZ241" i="10"/>
  <c r="AW241" i="10"/>
  <c r="AT241" i="10"/>
  <c r="AQ241" i="10"/>
  <c r="BI12" i="10"/>
  <c r="BE27" i="10"/>
  <c r="BG42" i="10"/>
  <c r="BI42" i="10"/>
  <c r="BK42" i="10"/>
  <c r="BI57" i="10"/>
  <c r="BI242" i="10"/>
  <c r="AW21" i="10"/>
  <c r="AZ22" i="10"/>
  <c r="AW34" i="10"/>
  <c r="AT115" i="10"/>
  <c r="AW145" i="10"/>
  <c r="AQ175" i="10"/>
  <c r="AW190" i="10"/>
  <c r="AQ220" i="10"/>
  <c r="AZ153" i="10"/>
  <c r="AT183" i="10"/>
  <c r="AZ198" i="10"/>
  <c r="AT228" i="10"/>
  <c r="AT243" i="10"/>
  <c r="AQ258" i="10"/>
  <c r="AZ258" i="10"/>
  <c r="BF121" i="10"/>
  <c r="AZ242" i="10"/>
  <c r="AW242" i="10"/>
  <c r="AT242" i="10"/>
  <c r="AQ242" i="10"/>
  <c r="AZ257" i="10"/>
  <c r="AW257" i="10"/>
  <c r="AT257" i="10"/>
  <c r="AQ257" i="10"/>
  <c r="BK27" i="10"/>
  <c r="BE42" i="10"/>
  <c r="BE57" i="10"/>
  <c r="BK57" i="10"/>
  <c r="BE72" i="10"/>
  <c r="BK72" i="10"/>
  <c r="BK88" i="10"/>
  <c r="BG105" i="10"/>
  <c r="BK105" i="10"/>
  <c r="BE121" i="10"/>
  <c r="BG121" i="10"/>
  <c r="BK121" i="10"/>
  <c r="BG137" i="10"/>
  <c r="BI137" i="10"/>
  <c r="BG152" i="10"/>
  <c r="BK152" i="10"/>
  <c r="BE167" i="10"/>
  <c r="D57" i="9" s="1"/>
  <c r="BG167" i="10"/>
  <c r="BK167" i="10"/>
  <c r="BG182" i="10"/>
  <c r="BI182" i="10"/>
  <c r="BK182" i="10"/>
  <c r="BG197" i="10"/>
  <c r="BE212" i="10"/>
  <c r="BG212" i="10"/>
  <c r="BK212" i="10"/>
  <c r="BG227" i="10"/>
  <c r="BI227" i="10"/>
  <c r="BE242" i="10"/>
  <c r="BG242" i="10"/>
  <c r="BK242" i="10"/>
  <c r="BE257" i="10"/>
  <c r="BG257" i="10"/>
  <c r="BK257" i="10"/>
  <c r="BD58" i="10"/>
  <c r="BJ89" i="10"/>
  <c r="BG14" i="10"/>
  <c r="BI89" i="10"/>
  <c r="BK89" i="10"/>
  <c r="BE106" i="10"/>
  <c r="BE122" i="10"/>
  <c r="BG122" i="10"/>
  <c r="BI122" i="10"/>
  <c r="BE138" i="10"/>
  <c r="BI138" i="10"/>
  <c r="BK138" i="10"/>
  <c r="BI153" i="10"/>
  <c r="BE168" i="10"/>
  <c r="E57" i="9" s="1"/>
  <c r="BG168" i="10"/>
  <c r="BI168" i="10"/>
  <c r="BI183" i="10"/>
  <c r="BK183" i="10"/>
  <c r="BI198" i="10"/>
  <c r="BE213" i="10"/>
  <c r="BG213" i="10"/>
  <c r="BI213" i="10"/>
  <c r="BI228" i="10"/>
  <c r="BK228" i="10"/>
  <c r="BI243" i="10"/>
  <c r="BG258" i="10"/>
  <c r="AT12" i="10"/>
  <c r="AW12" i="10"/>
  <c r="AQ27" i="10"/>
  <c r="BD27" i="10" s="1"/>
  <c r="AT27" i="10"/>
  <c r="AW27" i="10"/>
  <c r="AZ27" i="10"/>
  <c r="AQ42" i="10"/>
  <c r="AT42" i="10"/>
  <c r="AW42" i="10"/>
  <c r="AQ57" i="10"/>
  <c r="AT57" i="10"/>
  <c r="AW57" i="10"/>
  <c r="AZ57" i="10"/>
  <c r="BJ57" i="10" s="1"/>
  <c r="AQ72" i="10"/>
  <c r="AT72" i="10"/>
  <c r="AW72" i="10"/>
  <c r="AZ72" i="10"/>
  <c r="BJ72" i="10" s="1"/>
  <c r="AQ89" i="10"/>
  <c r="AZ121" i="10"/>
  <c r="AQ183" i="10"/>
  <c r="AZ213" i="10"/>
  <c r="BJ213" i="10" s="1"/>
  <c r="AQ243" i="10"/>
  <c r="BE92" i="10"/>
  <c r="BG109" i="10"/>
  <c r="BI109" i="10"/>
  <c r="BK109" i="10"/>
  <c r="BG125" i="10"/>
  <c r="BK125" i="10"/>
  <c r="BE141" i="10"/>
  <c r="BG141" i="10"/>
  <c r="BK141" i="10"/>
  <c r="BG156" i="10"/>
  <c r="BI156" i="10"/>
  <c r="BK156" i="10"/>
  <c r="BG171" i="10"/>
  <c r="BK171" i="10"/>
  <c r="BG186" i="10"/>
  <c r="BK186" i="10"/>
  <c r="BG201" i="10"/>
  <c r="BI201" i="10"/>
  <c r="BK201" i="10"/>
  <c r="BG216" i="10"/>
  <c r="BK216" i="10"/>
  <c r="BG231" i="10"/>
  <c r="BK231" i="10"/>
  <c r="K14" i="10"/>
  <c r="K13" i="10"/>
  <c r="Q12" i="10"/>
  <c r="Q13" i="10"/>
  <c r="T16" i="10"/>
  <c r="T17" i="10"/>
  <c r="BJ17" i="10" s="1"/>
  <c r="K12" i="10"/>
  <c r="Q14" i="10"/>
  <c r="T18" i="10"/>
  <c r="N11" i="10"/>
  <c r="Q15" i="10"/>
  <c r="T19" i="10"/>
  <c r="N12" i="10"/>
  <c r="Q16" i="10"/>
  <c r="T20" i="10"/>
  <c r="N13" i="10"/>
  <c r="BF13" i="10" s="1"/>
  <c r="Q17" i="10"/>
  <c r="T21" i="10"/>
  <c r="N14" i="10"/>
  <c r="Q18" i="10"/>
  <c r="T22" i="10"/>
  <c r="K11" i="10"/>
  <c r="BD11" i="10" s="1"/>
  <c r="N15" i="10"/>
  <c r="Q19" i="10"/>
  <c r="K22" i="10"/>
  <c r="N16" i="10"/>
  <c r="Q20" i="10"/>
  <c r="K21" i="10"/>
  <c r="N17" i="10"/>
  <c r="Q21" i="10"/>
  <c r="K20" i="10"/>
  <c r="BD20" i="10" s="1"/>
  <c r="N18" i="10"/>
  <c r="BF18" i="10" s="1"/>
  <c r="Q22" i="10"/>
  <c r="K19" i="10"/>
  <c r="N19" i="10"/>
  <c r="T11" i="10"/>
  <c r="K18" i="10"/>
  <c r="N20" i="10"/>
  <c r="T12" i="10"/>
  <c r="K17" i="10"/>
  <c r="N21" i="10"/>
  <c r="T13" i="10"/>
  <c r="K16" i="10"/>
  <c r="BD16" i="10" s="1"/>
  <c r="K15" i="10"/>
  <c r="T191" i="10"/>
  <c r="BJ191" i="10" s="1"/>
  <c r="K191" i="10"/>
  <c r="T202" i="10"/>
  <c r="K202" i="10"/>
  <c r="K185" i="10"/>
  <c r="T185" i="10"/>
  <c r="Q185" i="10"/>
  <c r="N185" i="10"/>
  <c r="T204" i="10"/>
  <c r="BJ204" i="10" s="1"/>
  <c r="K204" i="10"/>
  <c r="T228" i="10"/>
  <c r="BJ228" i="10" s="1"/>
  <c r="K228" i="10"/>
  <c r="BD228" i="10" s="1"/>
  <c r="T226" i="10"/>
  <c r="K226" i="10"/>
  <c r="T219" i="10"/>
  <c r="K219" i="10"/>
  <c r="K181" i="10"/>
  <c r="T181" i="10"/>
  <c r="Q181" i="10"/>
  <c r="N181" i="10"/>
  <c r="T206" i="10"/>
  <c r="K206" i="10"/>
  <c r="T215" i="10"/>
  <c r="K215" i="10"/>
  <c r="BD215" i="10" s="1"/>
  <c r="Q230" i="10"/>
  <c r="K230" i="10"/>
  <c r="BD230" i="10" s="1"/>
  <c r="K172" i="10"/>
  <c r="K211" i="10"/>
  <c r="T32" i="10"/>
  <c r="K213" i="10"/>
  <c r="K217" i="10"/>
  <c r="K221" i="10"/>
  <c r="BD221" i="10" s="1"/>
  <c r="Q26" i="10"/>
  <c r="N26" i="10"/>
  <c r="BF26" i="10" s="1"/>
  <c r="T26" i="10"/>
  <c r="BJ26" i="10" s="1"/>
  <c r="K26" i="10"/>
  <c r="BD26" i="10" s="1"/>
  <c r="Q43" i="10"/>
  <c r="BH43" i="10" s="1"/>
  <c r="N43" i="10"/>
  <c r="BF43" i="10" s="1"/>
  <c r="T43" i="10"/>
  <c r="BJ43" i="10" s="1"/>
  <c r="K43" i="10"/>
  <c r="Q50" i="10"/>
  <c r="N50" i="10"/>
  <c r="BF50" i="10" s="1"/>
  <c r="T50" i="10"/>
  <c r="BJ50" i="10" s="1"/>
  <c r="K50" i="10"/>
  <c r="Q61" i="10"/>
  <c r="BH61" i="10" s="1"/>
  <c r="N61" i="10"/>
  <c r="BF61" i="10" s="1"/>
  <c r="T61" i="10"/>
  <c r="K61" i="10"/>
  <c r="BD61" i="10" s="1"/>
  <c r="Q52" i="10"/>
  <c r="N52" i="10"/>
  <c r="BF52" i="10" s="1"/>
  <c r="T52" i="10"/>
  <c r="K52" i="10"/>
  <c r="Q28" i="10"/>
  <c r="BH28" i="10" s="1"/>
  <c r="N28" i="10"/>
  <c r="BF28" i="10" s="1"/>
  <c r="T28" i="10"/>
  <c r="BJ28" i="10" s="1"/>
  <c r="K28" i="10"/>
  <c r="BD28" i="10" s="1"/>
  <c r="Q41" i="10"/>
  <c r="BH41" i="10" s="1"/>
  <c r="N41" i="10"/>
  <c r="BF41" i="10" s="1"/>
  <c r="T41" i="10"/>
  <c r="BJ41" i="10" s="1"/>
  <c r="K41" i="10"/>
  <c r="Q45" i="10"/>
  <c r="BH45" i="10" s="1"/>
  <c r="N45" i="10"/>
  <c r="T45" i="10"/>
  <c r="K45" i="10"/>
  <c r="BD45" i="10" s="1"/>
  <c r="Q63" i="10"/>
  <c r="N63" i="10"/>
  <c r="T63" i="10"/>
  <c r="BJ63" i="10" s="1"/>
  <c r="K63" i="10"/>
  <c r="Q33" i="10"/>
  <c r="BH33" i="10" s="1"/>
  <c r="N33" i="10"/>
  <c r="K33" i="10"/>
  <c r="T33" i="10"/>
  <c r="Q30" i="10"/>
  <c r="N30" i="10"/>
  <c r="T30" i="10"/>
  <c r="K30" i="10"/>
  <c r="Q49" i="10"/>
  <c r="BH49" i="10" s="1"/>
  <c r="N49" i="10"/>
  <c r="BF49" i="10" s="1"/>
  <c r="T49" i="10"/>
  <c r="K49" i="10"/>
  <c r="BD49" i="10" s="1"/>
  <c r="Q56" i="10"/>
  <c r="BH56" i="10" s="1"/>
  <c r="N56" i="10"/>
  <c r="BF56" i="10" s="1"/>
  <c r="T56" i="10"/>
  <c r="BJ56" i="10" s="1"/>
  <c r="K56" i="10"/>
  <c r="BD56" i="10" s="1"/>
  <c r="Q59" i="10"/>
  <c r="BH59" i="10" s="1"/>
  <c r="N59" i="10"/>
  <c r="T59" i="10"/>
  <c r="BJ59" i="10" s="1"/>
  <c r="K59" i="10"/>
  <c r="Q44" i="10"/>
  <c r="N44" i="10"/>
  <c r="T44" i="10"/>
  <c r="BJ44" i="10" s="1"/>
  <c r="K44" i="10"/>
  <c r="BD44" i="10" s="1"/>
  <c r="Q48" i="10"/>
  <c r="N48" i="10"/>
  <c r="K48" i="10"/>
  <c r="T48" i="10"/>
  <c r="BJ48" i="10" s="1"/>
  <c r="Q29" i="10"/>
  <c r="BH29" i="10" s="1"/>
  <c r="N29" i="10"/>
  <c r="T29" i="10"/>
  <c r="K29" i="10"/>
  <c r="Q31" i="10"/>
  <c r="N31" i="10"/>
  <c r="T31" i="10"/>
  <c r="K31" i="10"/>
  <c r="BD31" i="10" s="1"/>
  <c r="Q36" i="10"/>
  <c r="N36" i="10"/>
  <c r="BF36" i="10" s="1"/>
  <c r="T36" i="10"/>
  <c r="BJ36" i="10" s="1"/>
  <c r="K36" i="10"/>
  <c r="BD36" i="10" s="1"/>
  <c r="Q42" i="10"/>
  <c r="N42" i="10"/>
  <c r="T42" i="10"/>
  <c r="BJ42" i="10" s="1"/>
  <c r="K42" i="10"/>
  <c r="Q64" i="10"/>
  <c r="N64" i="10"/>
  <c r="T64" i="10"/>
  <c r="K64" i="10"/>
  <c r="BD64" i="10" s="1"/>
  <c r="Q60" i="10"/>
  <c r="N60" i="10"/>
  <c r="T60" i="10"/>
  <c r="K60" i="10"/>
  <c r="Q34" i="10"/>
  <c r="N34" i="10"/>
  <c r="BF34" i="10" s="1"/>
  <c r="Q81" i="10"/>
  <c r="N81" i="10"/>
  <c r="K81" i="10"/>
  <c r="T96" i="10"/>
  <c r="Q96" i="10"/>
  <c r="N96" i="10"/>
  <c r="K96" i="10"/>
  <c r="T107" i="10"/>
  <c r="Q107" i="10"/>
  <c r="N107" i="10"/>
  <c r="K107" i="10"/>
  <c r="T112" i="10"/>
  <c r="Q112" i="10"/>
  <c r="K112" i="10"/>
  <c r="N112" i="10"/>
  <c r="T34" i="10"/>
  <c r="K37" i="10"/>
  <c r="BD37" i="10" s="1"/>
  <c r="K46" i="10"/>
  <c r="BD46" i="10" s="1"/>
  <c r="K57" i="10"/>
  <c r="BD57" i="10" s="1"/>
  <c r="K65" i="10"/>
  <c r="BD65" i="10" s="1"/>
  <c r="Q72" i="10"/>
  <c r="N72" i="10"/>
  <c r="K72" i="10"/>
  <c r="Q75" i="10"/>
  <c r="N75" i="10"/>
  <c r="K75" i="10"/>
  <c r="Q90" i="10"/>
  <c r="N90" i="10"/>
  <c r="K90" i="10"/>
  <c r="BD90" i="10" s="1"/>
  <c r="T207" i="10"/>
  <c r="BJ207" i="10" s="1"/>
  <c r="Q207" i="10"/>
  <c r="BH207" i="10" s="1"/>
  <c r="N207" i="10"/>
  <c r="K207" i="10"/>
  <c r="BD207" i="10" s="1"/>
  <c r="Q27" i="10"/>
  <c r="N27" i="10"/>
  <c r="Q51" i="10"/>
  <c r="N51" i="10"/>
  <c r="Q62" i="10"/>
  <c r="N62" i="10"/>
  <c r="T177" i="10"/>
  <c r="BJ177" i="10" s="1"/>
  <c r="Q177" i="10"/>
  <c r="BH177" i="10" s="1"/>
  <c r="N177" i="10"/>
  <c r="BF177" i="10" s="1"/>
  <c r="K177" i="10"/>
  <c r="K51" i="10"/>
  <c r="BD51" i="10" s="1"/>
  <c r="K62" i="10"/>
  <c r="Q67" i="10"/>
  <c r="N67" i="10"/>
  <c r="K67" i="10"/>
  <c r="T97" i="10"/>
  <c r="BJ97" i="10" s="1"/>
  <c r="Q97" i="10"/>
  <c r="N97" i="10"/>
  <c r="BF97" i="10" s="1"/>
  <c r="K97" i="10"/>
  <c r="T108" i="10"/>
  <c r="Q108" i="10"/>
  <c r="BH108" i="10" s="1"/>
  <c r="N108" i="10"/>
  <c r="BF108" i="10" s="1"/>
  <c r="K108" i="10"/>
  <c r="T113" i="10"/>
  <c r="Q113" i="10"/>
  <c r="BH113" i="10" s="1"/>
  <c r="K113" i="10"/>
  <c r="N113" i="10"/>
  <c r="T51" i="10"/>
  <c r="BJ51" i="10" s="1"/>
  <c r="T62" i="10"/>
  <c r="BJ62" i="10" s="1"/>
  <c r="T67" i="10"/>
  <c r="Q82" i="10"/>
  <c r="BH82" i="10" s="1"/>
  <c r="N82" i="10"/>
  <c r="K82" i="10"/>
  <c r="Q91" i="10"/>
  <c r="N91" i="10"/>
  <c r="BF91" i="10" s="1"/>
  <c r="K91" i="10"/>
  <c r="Q168" i="10"/>
  <c r="BH168" i="10" s="1"/>
  <c r="N168" i="10"/>
  <c r="K168" i="10"/>
  <c r="BD168" i="10" s="1"/>
  <c r="T168" i="10"/>
  <c r="T27" i="10"/>
  <c r="Q79" i="10"/>
  <c r="N79" i="10"/>
  <c r="BF79" i="10" s="1"/>
  <c r="K79" i="10"/>
  <c r="BD79" i="10" s="1"/>
  <c r="T82" i="10"/>
  <c r="BJ82" i="10" s="1"/>
  <c r="T91" i="10"/>
  <c r="Q46" i="10"/>
  <c r="BH46" i="10" s="1"/>
  <c r="N46" i="10"/>
  <c r="Q76" i="10"/>
  <c r="BH76" i="10" s="1"/>
  <c r="N76" i="10"/>
  <c r="K76" i="10"/>
  <c r="T79" i="10"/>
  <c r="Q73" i="10"/>
  <c r="BH73" i="10" s="1"/>
  <c r="N73" i="10"/>
  <c r="K73" i="10"/>
  <c r="BD73" i="10" s="1"/>
  <c r="T76" i="10"/>
  <c r="BJ76" i="10" s="1"/>
  <c r="Q92" i="10"/>
  <c r="BH92" i="10" s="1"/>
  <c r="N92" i="10"/>
  <c r="BF92" i="10" s="1"/>
  <c r="K92" i="10"/>
  <c r="BD92" i="10" s="1"/>
  <c r="T92" i="10"/>
  <c r="BJ92" i="10" s="1"/>
  <c r="T73" i="10"/>
  <c r="BJ73" i="10" s="1"/>
  <c r="Q87" i="10"/>
  <c r="N87" i="10"/>
  <c r="K87" i="10"/>
  <c r="T159" i="10"/>
  <c r="BJ159" i="10" s="1"/>
  <c r="Q159" i="10"/>
  <c r="N159" i="10"/>
  <c r="K159" i="10"/>
  <c r="BD159" i="10" s="1"/>
  <c r="Q78" i="10"/>
  <c r="BH78" i="10" s="1"/>
  <c r="N78" i="10"/>
  <c r="BF78" i="10" s="1"/>
  <c r="K78" i="10"/>
  <c r="BF15" i="10"/>
  <c r="Q32" i="10"/>
  <c r="N32" i="10"/>
  <c r="Q93" i="10"/>
  <c r="N93" i="10"/>
  <c r="K93" i="10"/>
  <c r="T93" i="10"/>
  <c r="T104" i="10"/>
  <c r="Q104" i="10"/>
  <c r="K104" i="10"/>
  <c r="N104" i="10"/>
  <c r="Q35" i="10"/>
  <c r="N35" i="10"/>
  <c r="BF35" i="10" s="1"/>
  <c r="Q47" i="10"/>
  <c r="BH47" i="10" s="1"/>
  <c r="N47" i="10"/>
  <c r="Q58" i="10"/>
  <c r="BH58" i="10" s="1"/>
  <c r="N58" i="10"/>
  <c r="Q66" i="10"/>
  <c r="BH66" i="10" s="1"/>
  <c r="N66" i="10"/>
  <c r="BF66" i="10" s="1"/>
  <c r="Q80" i="10"/>
  <c r="N80" i="10"/>
  <c r="K80" i="10"/>
  <c r="Q57" i="10"/>
  <c r="N57" i="10"/>
  <c r="BF57" i="10" s="1"/>
  <c r="K35" i="10"/>
  <c r="BD35" i="10" s="1"/>
  <c r="K47" i="10"/>
  <c r="K66" i="10"/>
  <c r="BD66" i="10" s="1"/>
  <c r="Q71" i="10"/>
  <c r="N71" i="10"/>
  <c r="K71" i="10"/>
  <c r="Q77" i="10"/>
  <c r="N77" i="10"/>
  <c r="K77" i="10"/>
  <c r="BD77" i="10" s="1"/>
  <c r="T80" i="10"/>
  <c r="BJ80" i="10" s="1"/>
  <c r="Q88" i="10"/>
  <c r="N88" i="10"/>
  <c r="BF88" i="10" s="1"/>
  <c r="K88" i="10"/>
  <c r="BD88" i="10" s="1"/>
  <c r="Q94" i="10"/>
  <c r="N94" i="10"/>
  <c r="BF94" i="10" s="1"/>
  <c r="K94" i="10"/>
  <c r="T94" i="10"/>
  <c r="BJ94" i="10" s="1"/>
  <c r="T105" i="10"/>
  <c r="BJ105" i="10" s="1"/>
  <c r="Q105" i="10"/>
  <c r="BH105" i="10" s="1"/>
  <c r="N105" i="10"/>
  <c r="BF105" i="10" s="1"/>
  <c r="K105" i="10"/>
  <c r="BD105" i="10" s="1"/>
  <c r="Q37" i="10"/>
  <c r="N37" i="10"/>
  <c r="T35" i="10"/>
  <c r="T47" i="10"/>
  <c r="BJ47" i="10" s="1"/>
  <c r="T58" i="10"/>
  <c r="BJ58" i="10" s="1"/>
  <c r="T66" i="10"/>
  <c r="T71" i="10"/>
  <c r="Q74" i="10"/>
  <c r="N74" i="10"/>
  <c r="K74" i="10"/>
  <c r="T88" i="10"/>
  <c r="BJ88" i="10" s="1"/>
  <c r="Q95" i="10"/>
  <c r="BH95" i="10" s="1"/>
  <c r="N95" i="10"/>
  <c r="BF95" i="10" s="1"/>
  <c r="K95" i="10"/>
  <c r="BD95" i="10" s="1"/>
  <c r="T95" i="10"/>
  <c r="T106" i="10"/>
  <c r="BJ106" i="10" s="1"/>
  <c r="Q106" i="10"/>
  <c r="BH106" i="10" s="1"/>
  <c r="N106" i="10"/>
  <c r="K106" i="10"/>
  <c r="Q65" i="10"/>
  <c r="N65" i="10"/>
  <c r="T74" i="10"/>
  <c r="Q89" i="10"/>
  <c r="N89" i="10"/>
  <c r="BF89" i="10" s="1"/>
  <c r="K89" i="10"/>
  <c r="T111" i="10"/>
  <c r="BJ111" i="10" s="1"/>
  <c r="Q111" i="10"/>
  <c r="BH111" i="10" s="1"/>
  <c r="N111" i="10"/>
  <c r="K111" i="10"/>
  <c r="BD111" i="10" s="1"/>
  <c r="T109" i="10"/>
  <c r="Q109" i="10"/>
  <c r="T125" i="10"/>
  <c r="Q125" i="10"/>
  <c r="K125" i="10"/>
  <c r="N173" i="10"/>
  <c r="K173" i="10"/>
  <c r="Q173" i="10"/>
  <c r="BH173" i="10" s="1"/>
  <c r="T214" i="10"/>
  <c r="BJ214" i="10" s="1"/>
  <c r="Q214" i="10"/>
  <c r="BH214" i="10" s="1"/>
  <c r="N214" i="10"/>
  <c r="K214" i="10"/>
  <c r="T218" i="10"/>
  <c r="Q218" i="10"/>
  <c r="N218" i="10"/>
  <c r="K218" i="10"/>
  <c r="T222" i="10"/>
  <c r="Q222" i="10"/>
  <c r="N222" i="10"/>
  <c r="K222" i="10"/>
  <c r="BD222" i="10" s="1"/>
  <c r="T229" i="10"/>
  <c r="Q229" i="10"/>
  <c r="N229" i="10"/>
  <c r="K229" i="10"/>
  <c r="N109" i="10"/>
  <c r="BF109" i="10" s="1"/>
  <c r="T123" i="10"/>
  <c r="Q123" i="10"/>
  <c r="K123" i="10"/>
  <c r="T138" i="10"/>
  <c r="BJ138" i="10" s="1"/>
  <c r="Q138" i="10"/>
  <c r="BH138" i="10" s="1"/>
  <c r="N138" i="10"/>
  <c r="K138" i="10"/>
  <c r="T142" i="10"/>
  <c r="Q142" i="10"/>
  <c r="BH142" i="10" s="1"/>
  <c r="N142" i="10"/>
  <c r="K142" i="10"/>
  <c r="BD142" i="10" s="1"/>
  <c r="T146" i="10"/>
  <c r="BJ146" i="10" s="1"/>
  <c r="Q146" i="10"/>
  <c r="N146" i="10"/>
  <c r="K146" i="10"/>
  <c r="T154" i="10"/>
  <c r="Q154" i="10"/>
  <c r="N154" i="10"/>
  <c r="K154" i="10"/>
  <c r="T189" i="10"/>
  <c r="BJ189" i="10" s="1"/>
  <c r="Q189" i="10"/>
  <c r="N189" i="10"/>
  <c r="BF189" i="10" s="1"/>
  <c r="K189" i="10"/>
  <c r="BD189" i="10" s="1"/>
  <c r="T197" i="10"/>
  <c r="BJ197" i="10" s="1"/>
  <c r="Q197" i="10"/>
  <c r="BH197" i="10" s="1"/>
  <c r="N197" i="10"/>
  <c r="BF197" i="10" s="1"/>
  <c r="K197" i="10"/>
  <c r="T234" i="10"/>
  <c r="Q234" i="10"/>
  <c r="BH234" i="10" s="1"/>
  <c r="N234" i="10"/>
  <c r="BF234" i="10" s="1"/>
  <c r="K234" i="10"/>
  <c r="BD234" i="10" s="1"/>
  <c r="T242" i="10"/>
  <c r="Q242" i="10"/>
  <c r="N242" i="10"/>
  <c r="K242" i="10"/>
  <c r="T249" i="10"/>
  <c r="Q249" i="10"/>
  <c r="N249" i="10"/>
  <c r="BF249" i="10" s="1"/>
  <c r="K249" i="10"/>
  <c r="T98" i="10"/>
  <c r="Q98" i="10"/>
  <c r="BH98" i="10" s="1"/>
  <c r="T128" i="10"/>
  <c r="BJ128" i="10" s="1"/>
  <c r="Q128" i="10"/>
  <c r="BH128" i="10" s="1"/>
  <c r="K128" i="10"/>
  <c r="BD128" i="10" s="1"/>
  <c r="T169" i="10"/>
  <c r="BJ169" i="10" s="1"/>
  <c r="Q169" i="10"/>
  <c r="N169" i="10"/>
  <c r="K169" i="10"/>
  <c r="T203" i="10"/>
  <c r="BJ203" i="10" s="1"/>
  <c r="Q203" i="10"/>
  <c r="N203" i="10"/>
  <c r="K203" i="10"/>
  <c r="BD203" i="10" s="1"/>
  <c r="K98" i="10"/>
  <c r="BD98" i="10" s="1"/>
  <c r="T121" i="10"/>
  <c r="Q121" i="10"/>
  <c r="BH121" i="10" s="1"/>
  <c r="K121" i="10"/>
  <c r="BD121" i="10" s="1"/>
  <c r="N128" i="10"/>
  <c r="BF128" i="10" s="1"/>
  <c r="T131" i="10"/>
  <c r="BJ131" i="10" s="1"/>
  <c r="Q131" i="10"/>
  <c r="BH131" i="10" s="1"/>
  <c r="N131" i="10"/>
  <c r="BF131" i="10" s="1"/>
  <c r="K131" i="10"/>
  <c r="T160" i="10"/>
  <c r="Q160" i="10"/>
  <c r="N160" i="10"/>
  <c r="BF160" i="10" s="1"/>
  <c r="K160" i="10"/>
  <c r="T174" i="10"/>
  <c r="BJ174" i="10" s="1"/>
  <c r="Q174" i="10"/>
  <c r="N174" i="10"/>
  <c r="BF174" i="10" s="1"/>
  <c r="K174" i="10"/>
  <c r="BD174" i="10" s="1"/>
  <c r="T243" i="10"/>
  <c r="BJ243" i="10" s="1"/>
  <c r="Q243" i="10"/>
  <c r="BH243" i="10" s="1"/>
  <c r="N243" i="10"/>
  <c r="K243" i="10"/>
  <c r="BD243" i="10" s="1"/>
  <c r="T250" i="10"/>
  <c r="Q250" i="10"/>
  <c r="N250" i="10"/>
  <c r="K250" i="10"/>
  <c r="N98" i="10"/>
  <c r="BF98" i="10" s="1"/>
  <c r="T155" i="10"/>
  <c r="BJ155" i="10" s="1"/>
  <c r="Q155" i="10"/>
  <c r="BH155" i="10" s="1"/>
  <c r="N155" i="10"/>
  <c r="K155" i="10"/>
  <c r="Q198" i="10"/>
  <c r="BH198" i="10" s="1"/>
  <c r="N198" i="10"/>
  <c r="BF198" i="10" s="1"/>
  <c r="K198" i="10"/>
  <c r="T198" i="10"/>
  <c r="T235" i="10"/>
  <c r="BJ235" i="10" s="1"/>
  <c r="Q235" i="10"/>
  <c r="BH235" i="10" s="1"/>
  <c r="K235" i="10"/>
  <c r="T115" i="10"/>
  <c r="BJ115" i="10" s="1"/>
  <c r="Q115" i="10"/>
  <c r="BH115" i="10" s="1"/>
  <c r="K115" i="10"/>
  <c r="BD115" i="10" s="1"/>
  <c r="T139" i="10"/>
  <c r="Q139" i="10"/>
  <c r="BH139" i="10" s="1"/>
  <c r="N139" i="10"/>
  <c r="K139" i="10"/>
  <c r="T143" i="10"/>
  <c r="Q143" i="10"/>
  <c r="N143" i="10"/>
  <c r="BF143" i="10" s="1"/>
  <c r="K143" i="10"/>
  <c r="T147" i="10"/>
  <c r="Q147" i="10"/>
  <c r="BH147" i="10" s="1"/>
  <c r="N147" i="10"/>
  <c r="K147" i="10"/>
  <c r="T170" i="10"/>
  <c r="Q170" i="10"/>
  <c r="BH170" i="10" s="1"/>
  <c r="N170" i="10"/>
  <c r="K170" i="10"/>
  <c r="T190" i="10"/>
  <c r="BJ190" i="10" s="1"/>
  <c r="Q190" i="10"/>
  <c r="N190" i="10"/>
  <c r="K190" i="10"/>
  <c r="N235" i="10"/>
  <c r="T244" i="10"/>
  <c r="Q244" i="10"/>
  <c r="N244" i="10"/>
  <c r="BF244" i="10" s="1"/>
  <c r="K244" i="10"/>
  <c r="BD244" i="10" s="1"/>
  <c r="N115" i="10"/>
  <c r="BF115" i="10" s="1"/>
  <c r="T126" i="10"/>
  <c r="Q126" i="10"/>
  <c r="K126" i="10"/>
  <c r="T161" i="10"/>
  <c r="Q161" i="10"/>
  <c r="N161" i="10"/>
  <c r="BF161" i="10" s="1"/>
  <c r="K161" i="10"/>
  <c r="T199" i="10"/>
  <c r="Q199" i="10"/>
  <c r="N199" i="10"/>
  <c r="BF199" i="10" s="1"/>
  <c r="K199" i="10"/>
  <c r="BD199" i="10" s="1"/>
  <c r="N126" i="10"/>
  <c r="T156" i="10"/>
  <c r="Q156" i="10"/>
  <c r="N156" i="10"/>
  <c r="K156" i="10"/>
  <c r="T212" i="10"/>
  <c r="BJ212" i="10" s="1"/>
  <c r="Q212" i="10"/>
  <c r="BH212" i="10" s="1"/>
  <c r="N212" i="10"/>
  <c r="K212" i="10"/>
  <c r="BD212" i="10" s="1"/>
  <c r="T216" i="10"/>
  <c r="Q216" i="10"/>
  <c r="N216" i="10"/>
  <c r="K216" i="10"/>
  <c r="BD216" i="10" s="1"/>
  <c r="T220" i="10"/>
  <c r="Q220" i="10"/>
  <c r="N220" i="10"/>
  <c r="K220" i="10"/>
  <c r="T227" i="10"/>
  <c r="BJ227" i="10" s="1"/>
  <c r="Q227" i="10"/>
  <c r="N227" i="10"/>
  <c r="BF227" i="10" s="1"/>
  <c r="K227" i="10"/>
  <c r="BD227" i="10" s="1"/>
  <c r="T124" i="10"/>
  <c r="Q124" i="10"/>
  <c r="K124" i="10"/>
  <c r="T129" i="10"/>
  <c r="BJ129" i="10" s="1"/>
  <c r="Q129" i="10"/>
  <c r="K129" i="10"/>
  <c r="T136" i="10"/>
  <c r="Q136" i="10"/>
  <c r="N136" i="10"/>
  <c r="K136" i="10"/>
  <c r="T151" i="10"/>
  <c r="Q151" i="10"/>
  <c r="N151" i="10"/>
  <c r="K151" i="10"/>
  <c r="T200" i="10"/>
  <c r="Q200" i="10"/>
  <c r="BH200" i="10" s="1"/>
  <c r="K200" i="10"/>
  <c r="T236" i="10"/>
  <c r="BJ236" i="10" s="1"/>
  <c r="Q236" i="10"/>
  <c r="N236" i="10"/>
  <c r="K236" i="10"/>
  <c r="BD236" i="10" s="1"/>
  <c r="T245" i="10"/>
  <c r="Q245" i="10"/>
  <c r="N245" i="10"/>
  <c r="BF245" i="10" s="1"/>
  <c r="K245" i="10"/>
  <c r="BD245" i="10" s="1"/>
  <c r="T110" i="10"/>
  <c r="Q110" i="10"/>
  <c r="T140" i="10"/>
  <c r="Q140" i="10"/>
  <c r="N140" i="10"/>
  <c r="K140" i="10"/>
  <c r="BD140" i="10" s="1"/>
  <c r="T144" i="10"/>
  <c r="BJ144" i="10" s="1"/>
  <c r="Q144" i="10"/>
  <c r="N144" i="10"/>
  <c r="BF144" i="10" s="1"/>
  <c r="K144" i="10"/>
  <c r="BD144" i="10" s="1"/>
  <c r="T162" i="10"/>
  <c r="BJ162" i="10" s="1"/>
  <c r="Q162" i="10"/>
  <c r="BH162" i="10" s="1"/>
  <c r="N162" i="10"/>
  <c r="K162" i="10"/>
  <c r="BD162" i="10" s="1"/>
  <c r="T182" i="10"/>
  <c r="BJ182" i="10" s="1"/>
  <c r="Q182" i="10"/>
  <c r="BH182" i="10" s="1"/>
  <c r="N182" i="10"/>
  <c r="BF182" i="10" s="1"/>
  <c r="K182" i="10"/>
  <c r="BD182" i="10" s="1"/>
  <c r="T186" i="10"/>
  <c r="Q186" i="10"/>
  <c r="BH186" i="10" s="1"/>
  <c r="N186" i="10"/>
  <c r="K186" i="10"/>
  <c r="BD186" i="10" s="1"/>
  <c r="T205" i="10"/>
  <c r="BJ205" i="10" s="1"/>
  <c r="Q205" i="10"/>
  <c r="N205" i="10"/>
  <c r="K205" i="10"/>
  <c r="BD205" i="10" s="1"/>
  <c r="K110" i="10"/>
  <c r="BD110" i="10" s="1"/>
  <c r="T122" i="10"/>
  <c r="BJ122" i="10" s="1"/>
  <c r="Q122" i="10"/>
  <c r="BH122" i="10" s="1"/>
  <c r="K122" i="10"/>
  <c r="BD122" i="10" s="1"/>
  <c r="T157" i="10"/>
  <c r="Q157" i="10"/>
  <c r="N157" i="10"/>
  <c r="K157" i="10"/>
  <c r="BD157" i="10" s="1"/>
  <c r="T246" i="10"/>
  <c r="Q246" i="10"/>
  <c r="BH246" i="10" s="1"/>
  <c r="N246" i="10"/>
  <c r="K246" i="10"/>
  <c r="BD246" i="10" s="1"/>
  <c r="N110" i="10"/>
  <c r="N122" i="10"/>
  <c r="BF122" i="10" s="1"/>
  <c r="T152" i="10"/>
  <c r="BJ152" i="10" s="1"/>
  <c r="Q152" i="10"/>
  <c r="BH152" i="10" s="1"/>
  <c r="N152" i="10"/>
  <c r="BF152" i="10" s="1"/>
  <c r="K152" i="10"/>
  <c r="T166" i="10"/>
  <c r="Q166" i="10"/>
  <c r="N166" i="10"/>
  <c r="BF166" i="10" s="1"/>
  <c r="BD166" i="10"/>
  <c r="T176" i="10"/>
  <c r="BJ176" i="10" s="1"/>
  <c r="Q176" i="10"/>
  <c r="BH176" i="10" s="1"/>
  <c r="N176" i="10"/>
  <c r="K176" i="10"/>
  <c r="BD176" i="10" s="1"/>
  <c r="T192" i="10"/>
  <c r="Q192" i="10"/>
  <c r="N192" i="10"/>
  <c r="K192" i="10"/>
  <c r="T201" i="10"/>
  <c r="Q201" i="10"/>
  <c r="N201" i="10"/>
  <c r="K201" i="10"/>
  <c r="BD201" i="10" s="1"/>
  <c r="T232" i="10"/>
  <c r="Q232" i="10"/>
  <c r="BH232" i="10" s="1"/>
  <c r="N232" i="10"/>
  <c r="K232" i="10"/>
  <c r="T237" i="10"/>
  <c r="Q237" i="10"/>
  <c r="N237" i="10"/>
  <c r="K237" i="10"/>
  <c r="BD237" i="10" s="1"/>
  <c r="T120" i="10"/>
  <c r="Q120" i="10"/>
  <c r="K120" i="10"/>
  <c r="T127" i="10"/>
  <c r="Q127" i="10"/>
  <c r="BH127" i="10" s="1"/>
  <c r="K127" i="10"/>
  <c r="BD127" i="10" s="1"/>
  <c r="T187" i="10"/>
  <c r="BJ187" i="10" s="1"/>
  <c r="Q187" i="10"/>
  <c r="N187" i="10"/>
  <c r="K187" i="10"/>
  <c r="T247" i="10"/>
  <c r="Q247" i="10"/>
  <c r="BH247" i="10" s="1"/>
  <c r="N247" i="10"/>
  <c r="K247" i="10"/>
  <c r="N120" i="10"/>
  <c r="BF120" i="10" s="1"/>
  <c r="N127" i="10"/>
  <c r="T137" i="10"/>
  <c r="BJ137" i="10" s="1"/>
  <c r="Q137" i="10"/>
  <c r="BH137" i="10" s="1"/>
  <c r="N137" i="10"/>
  <c r="BF137" i="10" s="1"/>
  <c r="K137" i="10"/>
  <c r="T141" i="10"/>
  <c r="BJ141" i="10" s="1"/>
  <c r="Q141" i="10"/>
  <c r="N141" i="10"/>
  <c r="K141" i="10"/>
  <c r="BD141" i="10" s="1"/>
  <c r="T145" i="10"/>
  <c r="Q145" i="10"/>
  <c r="N145" i="10"/>
  <c r="BF145" i="10" s="1"/>
  <c r="K145" i="10"/>
  <c r="T158" i="10"/>
  <c r="Q158" i="10"/>
  <c r="N158" i="10"/>
  <c r="K158" i="10"/>
  <c r="BD158" i="10" s="1"/>
  <c r="T167" i="10"/>
  <c r="BJ167" i="10" s="1"/>
  <c r="Q167" i="10"/>
  <c r="BH167" i="10" s="1"/>
  <c r="K167" i="10"/>
  <c r="BD167" i="10" s="1"/>
  <c r="T114" i="10"/>
  <c r="BJ114" i="10" s="1"/>
  <c r="Q114" i="10"/>
  <c r="K114" i="10"/>
  <c r="T130" i="10"/>
  <c r="BJ130" i="10" s="1"/>
  <c r="Q130" i="10"/>
  <c r="N130" i="10"/>
  <c r="K130" i="10"/>
  <c r="BD130" i="10" s="1"/>
  <c r="T153" i="10"/>
  <c r="BJ153" i="10" s="1"/>
  <c r="Q153" i="10"/>
  <c r="BH153" i="10" s="1"/>
  <c r="N153" i="10"/>
  <c r="K153" i="10"/>
  <c r="BD153" i="10" s="1"/>
  <c r="N167" i="10"/>
  <c r="T188" i="10"/>
  <c r="Q188" i="10"/>
  <c r="K188" i="10"/>
  <c r="T196" i="10"/>
  <c r="Q196" i="10"/>
  <c r="N196" i="10"/>
  <c r="BF196" i="10" s="1"/>
  <c r="K196" i="10"/>
  <c r="T233" i="10"/>
  <c r="BJ233" i="10" s="1"/>
  <c r="Q233" i="10"/>
  <c r="BH233" i="10" s="1"/>
  <c r="N233" i="10"/>
  <c r="K233" i="10"/>
  <c r="T248" i="10"/>
  <c r="Q248" i="10"/>
  <c r="N248" i="10"/>
  <c r="K248" i="10"/>
  <c r="BD248" i="10" s="1"/>
  <c r="T241" i="10"/>
  <c r="BJ241" i="10" s="1"/>
  <c r="Q241" i="10"/>
  <c r="BH241" i="10" s="1"/>
  <c r="T257" i="10"/>
  <c r="Q257" i="10"/>
  <c r="N257" i="10"/>
  <c r="K257" i="10"/>
  <c r="BD257" i="10" s="1"/>
  <c r="N172" i="10"/>
  <c r="N191" i="10"/>
  <c r="N202" i="10"/>
  <c r="BF202" i="10" s="1"/>
  <c r="N204" i="10"/>
  <c r="N206" i="10"/>
  <c r="BF206" i="10" s="1"/>
  <c r="N211" i="10"/>
  <c r="N213" i="10"/>
  <c r="BF213" i="10" s="1"/>
  <c r="N215" i="10"/>
  <c r="BF215" i="10" s="1"/>
  <c r="N217" i="10"/>
  <c r="N219" i="10"/>
  <c r="N221" i="10"/>
  <c r="BF221" i="10" s="1"/>
  <c r="N226" i="10"/>
  <c r="BF226" i="10" s="1"/>
  <c r="N228" i="10"/>
  <c r="N230" i="10"/>
  <c r="N241" i="10"/>
  <c r="T263" i="10"/>
  <c r="Q263" i="10"/>
  <c r="N263" i="10"/>
  <c r="BF263" i="10" s="1"/>
  <c r="K263" i="10"/>
  <c r="Q172" i="10"/>
  <c r="Q191" i="10"/>
  <c r="Q202" i="10"/>
  <c r="Q204" i="10"/>
  <c r="Q206" i="10"/>
  <c r="Q211" i="10"/>
  <c r="Q213" i="10"/>
  <c r="Q215" i="10"/>
  <c r="Q217" i="10"/>
  <c r="Q219" i="10"/>
  <c r="Q221" i="10"/>
  <c r="Q226" i="10"/>
  <c r="BH226" i="10" s="1"/>
  <c r="Q228" i="10"/>
  <c r="BH228" i="10" s="1"/>
  <c r="T230" i="10"/>
  <c r="BJ230" i="10" s="1"/>
  <c r="T258" i="10"/>
  <c r="BJ258" i="10" s="1"/>
  <c r="Q258" i="10"/>
  <c r="BH258" i="10" s="1"/>
  <c r="N258" i="10"/>
  <c r="BF258" i="10" s="1"/>
  <c r="K258" i="10"/>
  <c r="K171" i="10"/>
  <c r="K184" i="10"/>
  <c r="BD184" i="10" s="1"/>
  <c r="N171" i="10"/>
  <c r="N184" i="10"/>
  <c r="T264" i="10"/>
  <c r="BJ264" i="10" s="1"/>
  <c r="Q264" i="10"/>
  <c r="BH264" i="10" s="1"/>
  <c r="N264" i="10"/>
  <c r="K264" i="10"/>
  <c r="BD264" i="10" s="1"/>
  <c r="Q171" i="10"/>
  <c r="BH171" i="10" s="1"/>
  <c r="Q184" i="10"/>
  <c r="T259" i="10"/>
  <c r="BJ259" i="10" s="1"/>
  <c r="Q259" i="10"/>
  <c r="N259" i="10"/>
  <c r="K259" i="10"/>
  <c r="T231" i="10"/>
  <c r="Q231" i="10"/>
  <c r="T251" i="10"/>
  <c r="Q251" i="10"/>
  <c r="N251" i="10"/>
  <c r="K251" i="10"/>
  <c r="BD251" i="10" s="1"/>
  <c r="K175" i="10"/>
  <c r="K183" i="10"/>
  <c r="K231" i="10"/>
  <c r="BD231" i="10" s="1"/>
  <c r="T265" i="10"/>
  <c r="Q265" i="10"/>
  <c r="N265" i="10"/>
  <c r="BF265" i="10" s="1"/>
  <c r="K265" i="10"/>
  <c r="N175" i="10"/>
  <c r="N183" i="10"/>
  <c r="N231" i="10"/>
  <c r="T260" i="10"/>
  <c r="BJ260" i="10" s="1"/>
  <c r="Q260" i="10"/>
  <c r="N260" i="10"/>
  <c r="BF260" i="10" s="1"/>
  <c r="K260" i="10"/>
  <c r="BD260" i="10" s="1"/>
  <c r="Q175" i="10"/>
  <c r="Q183" i="10"/>
  <c r="BH183" i="10" s="1"/>
  <c r="T252" i="10"/>
  <c r="BJ252" i="10" s="1"/>
  <c r="Q252" i="10"/>
  <c r="N252" i="10"/>
  <c r="K252" i="10"/>
  <c r="T266" i="10"/>
  <c r="Q266" i="10"/>
  <c r="BH266" i="10" s="1"/>
  <c r="N266" i="10"/>
  <c r="BF266" i="10" s="1"/>
  <c r="K266" i="10"/>
  <c r="BD266" i="10" s="1"/>
  <c r="T261" i="10"/>
  <c r="BJ261" i="10" s="1"/>
  <c r="Q261" i="10"/>
  <c r="BH261" i="10" s="1"/>
  <c r="N261" i="10"/>
  <c r="BF261" i="10" s="1"/>
  <c r="K261" i="10"/>
  <c r="T256" i="10"/>
  <c r="Q256" i="10"/>
  <c r="N256" i="10"/>
  <c r="K256" i="10"/>
  <c r="T267" i="10"/>
  <c r="Q267" i="10"/>
  <c r="BH267" i="10" s="1"/>
  <c r="N267" i="10"/>
  <c r="BF267" i="10" s="1"/>
  <c r="K267" i="10"/>
  <c r="BD267" i="10" s="1"/>
  <c r="T262" i="10"/>
  <c r="Q262" i="10"/>
  <c r="N262" i="10"/>
  <c r="K262" i="10"/>
  <c r="BH204" i="10" l="1"/>
  <c r="BH14" i="10"/>
  <c r="BF262" i="10"/>
  <c r="BH175" i="10"/>
  <c r="BD137" i="10"/>
  <c r="BH187" i="10"/>
  <c r="BD200" i="10"/>
  <c r="BJ220" i="10"/>
  <c r="BJ33" i="10"/>
  <c r="BD91" i="10"/>
  <c r="BJ200" i="10"/>
  <c r="BH242" i="10"/>
  <c r="BD78" i="10"/>
  <c r="BF60" i="10"/>
  <c r="BD147" i="10"/>
  <c r="BJ229" i="10"/>
  <c r="BH88" i="10"/>
  <c r="BF219" i="10"/>
  <c r="BF251" i="10"/>
  <c r="BD89" i="10"/>
  <c r="BD104" i="10"/>
  <c r="BF96" i="10"/>
  <c r="BD145" i="10"/>
  <c r="BH244" i="10"/>
  <c r="BD80" i="10"/>
  <c r="BD263" i="10"/>
  <c r="BD120" i="10"/>
  <c r="BJ246" i="10"/>
  <c r="BF222" i="10"/>
  <c r="BD173" i="10"/>
  <c r="BH104" i="10"/>
  <c r="BF158" i="10"/>
  <c r="BJ61" i="10"/>
  <c r="BH130" i="10"/>
  <c r="BH201" i="10"/>
  <c r="BF212" i="10"/>
  <c r="BF151" i="10"/>
  <c r="BD138" i="10"/>
  <c r="BH37" i="10"/>
  <c r="BF175" i="10"/>
  <c r="BF250" i="10"/>
  <c r="BJ222" i="10"/>
  <c r="BJ67" i="10"/>
  <c r="BF142" i="10"/>
  <c r="BJ127" i="10"/>
  <c r="BD154" i="10"/>
  <c r="BH263" i="10"/>
  <c r="BD192" i="10"/>
  <c r="BH250" i="10"/>
  <c r="BD14" i="10"/>
  <c r="BF147" i="10"/>
  <c r="BD252" i="10"/>
  <c r="BF167" i="10"/>
  <c r="BF71" i="10"/>
  <c r="BJ168" i="10"/>
  <c r="BH81" i="10"/>
  <c r="BH15" i="10"/>
  <c r="BH219" i="10"/>
  <c r="BH213" i="10"/>
  <c r="BF216" i="10"/>
  <c r="BD214" i="10"/>
  <c r="BJ216" i="10"/>
  <c r="BJ244" i="10"/>
  <c r="BJ251" i="10"/>
  <c r="BJ140" i="10"/>
  <c r="BJ124" i="10"/>
  <c r="BJ104" i="10"/>
  <c r="BJ95" i="10"/>
  <c r="BH62" i="10"/>
  <c r="BH57" i="10"/>
  <c r="BH67" i="10"/>
  <c r="BH185" i="10"/>
  <c r="BH154" i="10"/>
  <c r="BF264" i="10"/>
  <c r="BF242" i="10"/>
  <c r="BF111" i="10"/>
  <c r="BF82" i="10"/>
  <c r="BD124" i="10"/>
  <c r="BD96" i="10"/>
  <c r="BD74" i="10"/>
  <c r="BD48" i="10"/>
  <c r="BD41" i="10"/>
  <c r="BD43" i="10"/>
  <c r="BD175" i="10"/>
  <c r="BH202" i="10"/>
  <c r="BH158" i="10"/>
  <c r="BH110" i="10"/>
  <c r="BJ170" i="10"/>
  <c r="BJ139" i="10"/>
  <c r="BH189" i="10"/>
  <c r="BJ35" i="10"/>
  <c r="BH35" i="10"/>
  <c r="BF207" i="10"/>
  <c r="BF48" i="10"/>
  <c r="BD33" i="10"/>
  <c r="BJ215" i="10"/>
  <c r="BJ211" i="10"/>
  <c r="BJ87" i="10"/>
  <c r="BJ175" i="10"/>
  <c r="BH260" i="10"/>
  <c r="BH191" i="10"/>
  <c r="BF217" i="10"/>
  <c r="BJ257" i="10"/>
  <c r="BF130" i="10"/>
  <c r="BJ158" i="10"/>
  <c r="BJ232" i="10"/>
  <c r="BF246" i="10"/>
  <c r="BF205" i="10"/>
  <c r="BF162" i="10"/>
  <c r="BJ110" i="10"/>
  <c r="BD151" i="10"/>
  <c r="BH124" i="10"/>
  <c r="BH216" i="10"/>
  <c r="BJ242" i="10"/>
  <c r="BJ142" i="10"/>
  <c r="BF37" i="10"/>
  <c r="BF104" i="10"/>
  <c r="BJ91" i="10"/>
  <c r="BH91" i="10"/>
  <c r="BD177" i="10"/>
  <c r="BH60" i="10"/>
  <c r="BH36" i="10"/>
  <c r="BH48" i="10"/>
  <c r="BF33" i="10"/>
  <c r="BD206" i="10"/>
  <c r="BD204" i="10"/>
  <c r="BH199" i="10"/>
  <c r="BF231" i="10"/>
  <c r="BD50" i="10"/>
  <c r="BF183" i="10"/>
  <c r="BJ113" i="10"/>
  <c r="BD82" i="10"/>
  <c r="BF138" i="10"/>
  <c r="BF181" i="10"/>
  <c r="BD188" i="10"/>
  <c r="BD250" i="10"/>
  <c r="BH89" i="10"/>
  <c r="BD97" i="10"/>
  <c r="BJ145" i="10"/>
  <c r="BF157" i="10"/>
  <c r="BH227" i="10"/>
  <c r="BD143" i="10"/>
  <c r="BJ234" i="10"/>
  <c r="BD125" i="10"/>
  <c r="BF73" i="10"/>
  <c r="BF44" i="10"/>
  <c r="BJ181" i="10"/>
  <c r="BF20" i="10"/>
  <c r="BF114" i="10"/>
  <c r="BJ46" i="10"/>
  <c r="BF256" i="10"/>
  <c r="BF252" i="10"/>
  <c r="BJ231" i="10"/>
  <c r="BF171" i="10"/>
  <c r="BH217" i="10"/>
  <c r="BF204" i="10"/>
  <c r="BH248" i="10"/>
  <c r="BJ188" i="10"/>
  <c r="BD152" i="10"/>
  <c r="BH157" i="10"/>
  <c r="BH144" i="10"/>
  <c r="BF136" i="10"/>
  <c r="BH161" i="10"/>
  <c r="BF203" i="10"/>
  <c r="BD249" i="10"/>
  <c r="BD197" i="10"/>
  <c r="BD146" i="10"/>
  <c r="BD218" i="10"/>
  <c r="BH125" i="10"/>
  <c r="BF74" i="10"/>
  <c r="BD71" i="10"/>
  <c r="BD93" i="10"/>
  <c r="BH97" i="10"/>
  <c r="BD75" i="10"/>
  <c r="BD112" i="10"/>
  <c r="BF81" i="10"/>
  <c r="BH44" i="10"/>
  <c r="BJ32" i="10"/>
  <c r="BD185" i="10"/>
  <c r="BD109" i="10"/>
  <c r="BH205" i="10"/>
  <c r="BH251" i="10"/>
  <c r="BF154" i="10"/>
  <c r="BD63" i="10"/>
  <c r="BF185" i="10"/>
  <c r="BH221" i="10"/>
  <c r="BJ151" i="10"/>
  <c r="BJ147" i="10"/>
  <c r="BJ49" i="10"/>
  <c r="BD217" i="10"/>
  <c r="BH188" i="10"/>
  <c r="BJ245" i="10"/>
  <c r="BJ98" i="10"/>
  <c r="BJ74" i="10"/>
  <c r="BF112" i="10"/>
  <c r="BF124" i="10"/>
  <c r="BD259" i="10"/>
  <c r="BJ248" i="10"/>
  <c r="BJ247" i="10"/>
  <c r="BJ157" i="10"/>
  <c r="BF236" i="10"/>
  <c r="BJ250" i="10"/>
  <c r="BH123" i="10"/>
  <c r="BF218" i="10"/>
  <c r="BJ125" i="10"/>
  <c r="BH65" i="10"/>
  <c r="BH74" i="10"/>
  <c r="BF58" i="10"/>
  <c r="BF93" i="10"/>
  <c r="BJ79" i="10"/>
  <c r="BF75" i="10"/>
  <c r="BH112" i="10"/>
  <c r="BD59" i="10"/>
  <c r="BD52" i="10"/>
  <c r="BD219" i="10"/>
  <c r="BH16" i="10"/>
  <c r="BD241" i="10"/>
  <c r="BJ65" i="10"/>
  <c r="BF110" i="10"/>
  <c r="BH196" i="10"/>
  <c r="BJ196" i="10"/>
  <c r="BF201" i="10"/>
  <c r="BJ199" i="10"/>
  <c r="BJ267" i="10"/>
  <c r="BD114" i="10"/>
  <c r="BH245" i="10"/>
  <c r="BJ34" i="10"/>
  <c r="BH181" i="10"/>
  <c r="BD256" i="10"/>
  <c r="BF184" i="10"/>
  <c r="BH114" i="10"/>
  <c r="BD190" i="10"/>
  <c r="BJ93" i="10"/>
  <c r="BH90" i="10"/>
  <c r="BH64" i="10"/>
  <c r="BD213" i="10"/>
  <c r="BJ185" i="10"/>
  <c r="BJ75" i="10"/>
  <c r="BH256" i="10"/>
  <c r="BH215" i="10"/>
  <c r="BF241" i="10"/>
  <c r="BF237" i="10"/>
  <c r="BH136" i="10"/>
  <c r="BH190" i="10"/>
  <c r="BJ256" i="10"/>
  <c r="BH237" i="10"/>
  <c r="BH236" i="10"/>
  <c r="BF220" i="10"/>
  <c r="BF156" i="10"/>
  <c r="BD198" i="10"/>
  <c r="BD131" i="10"/>
  <c r="BH249" i="10"/>
  <c r="BH146" i="10"/>
  <c r="BJ123" i="10"/>
  <c r="BH218" i="10"/>
  <c r="BH109" i="10"/>
  <c r="BD106" i="10"/>
  <c r="BH93" i="10"/>
  <c r="BD67" i="10"/>
  <c r="BH51" i="10"/>
  <c r="BH75" i="10"/>
  <c r="BJ112" i="10"/>
  <c r="BF29" i="10"/>
  <c r="BJ52" i="10"/>
  <c r="BD172" i="10"/>
  <c r="BJ78" i="10"/>
  <c r="BH151" i="10"/>
  <c r="BH96" i="10"/>
  <c r="BH145" i="10"/>
  <c r="BD161" i="10"/>
  <c r="BH222" i="10"/>
  <c r="BH231" i="10"/>
  <c r="BF248" i="10"/>
  <c r="BF186" i="10"/>
  <c r="BJ154" i="10"/>
  <c r="BF63" i="10"/>
  <c r="BH252" i="10"/>
  <c r="BJ186" i="10"/>
  <c r="BD220" i="10"/>
  <c r="BH143" i="10"/>
  <c r="BH203" i="10"/>
  <c r="BF259" i="10"/>
  <c r="BD262" i="10"/>
  <c r="BD261" i="10"/>
  <c r="BH259" i="10"/>
  <c r="BH211" i="10"/>
  <c r="BF172" i="10"/>
  <c r="BF153" i="10"/>
  <c r="BF187" i="10"/>
  <c r="BF140" i="10"/>
  <c r="BH156" i="10"/>
  <c r="BD170" i="10"/>
  <c r="BD139" i="10"/>
  <c r="BD169" i="10"/>
  <c r="BJ218" i="10"/>
  <c r="BJ109" i="10"/>
  <c r="BF106" i="10"/>
  <c r="BF47" i="10"/>
  <c r="BF32" i="10"/>
  <c r="BH87" i="10"/>
  <c r="BF76" i="10"/>
  <c r="BF168" i="10"/>
  <c r="BD113" i="10"/>
  <c r="BF67" i="10"/>
  <c r="BH34" i="10"/>
  <c r="BF45" i="10"/>
  <c r="BD226" i="10"/>
  <c r="BD191" i="10"/>
  <c r="BJ172" i="10"/>
  <c r="BJ266" i="10"/>
  <c r="BF211" i="10"/>
  <c r="BD247" i="10"/>
  <c r="BH120" i="10"/>
  <c r="BH166" i="10"/>
  <c r="BF235" i="10"/>
  <c r="BD235" i="10"/>
  <c r="BD160" i="10"/>
  <c r="BF173" i="10"/>
  <c r="BF77" i="10"/>
  <c r="BH80" i="10"/>
  <c r="BF159" i="10"/>
  <c r="BF90" i="10"/>
  <c r="BJ96" i="10"/>
  <c r="BH26" i="10"/>
  <c r="BJ206" i="10"/>
  <c r="BF14" i="10"/>
  <c r="BJ77" i="10"/>
  <c r="BJ173" i="10"/>
  <c r="BJ15" i="10"/>
  <c r="BJ108" i="10"/>
  <c r="BF247" i="10"/>
  <c r="BJ120" i="10"/>
  <c r="BJ201" i="10"/>
  <c r="BJ166" i="10"/>
  <c r="BD136" i="10"/>
  <c r="BH77" i="10"/>
  <c r="BH159" i="10"/>
  <c r="BH79" i="10"/>
  <c r="BF62" i="10"/>
  <c r="BD81" i="10"/>
  <c r="BJ64" i="10"/>
  <c r="BJ31" i="10"/>
  <c r="BF129" i="10"/>
  <c r="BF123" i="10"/>
  <c r="BJ27" i="10"/>
  <c r="BF64" i="10"/>
  <c r="BF31" i="10"/>
  <c r="BH172" i="10"/>
  <c r="BJ90" i="10"/>
  <c r="BF80" i="10"/>
  <c r="BF190" i="10"/>
  <c r="BD123" i="10"/>
  <c r="BD156" i="10"/>
  <c r="BJ198" i="10"/>
  <c r="BJ160" i="10"/>
  <c r="BD87" i="10"/>
  <c r="BH31" i="10"/>
  <c r="BH265" i="10"/>
  <c r="BD171" i="10"/>
  <c r="BF230" i="10"/>
  <c r="BF191" i="10"/>
  <c r="BD233" i="10"/>
  <c r="BH141" i="10"/>
  <c r="BD187" i="10"/>
  <c r="BH192" i="10"/>
  <c r="BJ136" i="10"/>
  <c r="BD126" i="10"/>
  <c r="BJ143" i="10"/>
  <c r="BJ71" i="10"/>
  <c r="BD94" i="10"/>
  <c r="BH71" i="10"/>
  <c r="BF87" i="10"/>
  <c r="BD76" i="10"/>
  <c r="BF113" i="10"/>
  <c r="BD42" i="10"/>
  <c r="BD29" i="10"/>
  <c r="BH63" i="10"/>
  <c r="BH50" i="10"/>
  <c r="BD181" i="10"/>
  <c r="BJ20" i="10"/>
  <c r="BJ184" i="10"/>
  <c r="BF188" i="10"/>
  <c r="BJ121" i="10"/>
  <c r="BF65" i="10"/>
  <c r="BF146" i="10"/>
  <c r="BF228" i="10"/>
  <c r="BJ237" i="10"/>
  <c r="BD129" i="10"/>
  <c r="BJ249" i="10"/>
  <c r="BJ66" i="10"/>
  <c r="BF27" i="10"/>
  <c r="BD72" i="10"/>
  <c r="BD107" i="10"/>
  <c r="BJ29" i="10"/>
  <c r="BD30" i="10"/>
  <c r="BD211" i="10"/>
  <c r="BD202" i="10"/>
  <c r="BF127" i="10"/>
  <c r="BH174" i="10"/>
  <c r="BJ217" i="10"/>
  <c r="BJ263" i="10"/>
  <c r="BH160" i="10"/>
  <c r="BF141" i="10"/>
  <c r="BF192" i="10"/>
  <c r="BJ161" i="10"/>
  <c r="BF51" i="10"/>
  <c r="BJ265" i="10"/>
  <c r="BD258" i="10"/>
  <c r="BJ192" i="10"/>
  <c r="BH220" i="10"/>
  <c r="BH126" i="10"/>
  <c r="BH206" i="10"/>
  <c r="BD232" i="10"/>
  <c r="BH140" i="10"/>
  <c r="BH129" i="10"/>
  <c r="BJ156" i="10"/>
  <c r="BJ126" i="10"/>
  <c r="BF170" i="10"/>
  <c r="BF139" i="10"/>
  <c r="BF169" i="10"/>
  <c r="BD242" i="10"/>
  <c r="BD229" i="10"/>
  <c r="BH94" i="10"/>
  <c r="BD47" i="10"/>
  <c r="BH32" i="10"/>
  <c r="BH27" i="10"/>
  <c r="BF72" i="10"/>
  <c r="BF107" i="10"/>
  <c r="BF42" i="10"/>
  <c r="BJ30" i="10"/>
  <c r="BJ45" i="10"/>
  <c r="BJ219" i="10"/>
  <c r="BJ202" i="10"/>
  <c r="BJ171" i="10"/>
  <c r="BF200" i="10"/>
  <c r="BD265" i="10"/>
  <c r="BF233" i="10"/>
  <c r="BF243" i="10"/>
  <c r="BH262" i="10"/>
  <c r="BD183" i="10"/>
  <c r="BH184" i="10"/>
  <c r="BF257" i="10"/>
  <c r="BF232" i="10"/>
  <c r="BF176" i="10"/>
  <c r="BF126" i="10"/>
  <c r="BD155" i="10"/>
  <c r="BH169" i="10"/>
  <c r="BF229" i="10"/>
  <c r="BF214" i="10"/>
  <c r="BF46" i="10"/>
  <c r="BD62" i="10"/>
  <c r="BH72" i="10"/>
  <c r="BH107" i="10"/>
  <c r="BD60" i="10"/>
  <c r="BH42" i="10"/>
  <c r="BF59" i="10"/>
  <c r="BF30" i="10"/>
  <c r="BJ262" i="10"/>
  <c r="BH257" i="10"/>
  <c r="BD196" i="10"/>
  <c r="BF155" i="10"/>
  <c r="BH229" i="10"/>
  <c r="BD108" i="10"/>
  <c r="BJ107" i="10"/>
  <c r="BJ60" i="10"/>
  <c r="BH30" i="10"/>
  <c r="BH52" i="10"/>
  <c r="BH230" i="10"/>
  <c r="BJ226" i="10"/>
  <c r="BH20" i="10"/>
  <c r="BJ22" i="10"/>
  <c r="BJ14" i="10"/>
  <c r="BF12" i="10"/>
  <c r="BJ16" i="10"/>
  <c r="BJ12" i="10"/>
  <c r="BF16" i="10"/>
  <c r="BD12" i="10"/>
  <c r="BH12" i="10"/>
  <c r="BD17" i="10"/>
  <c r="BD15" i="10"/>
  <c r="BD22" i="10"/>
  <c r="BH11" i="10"/>
  <c r="BF22" i="10"/>
  <c r="BJ11" i="10"/>
  <c r="BF11" i="10"/>
  <c r="BF17" i="10"/>
  <c r="BH17" i="10"/>
  <c r="BJ19" i="10"/>
  <c r="BD19" i="10"/>
  <c r="BD13" i="10"/>
  <c r="BH22" i="10"/>
  <c r="BF19" i="10"/>
  <c r="BH19" i="10"/>
  <c r="BJ13" i="10"/>
  <c r="BD18" i="10"/>
  <c r="BD21" i="10"/>
  <c r="BH13" i="10"/>
  <c r="BJ18" i="10"/>
  <c r="BF21" i="10"/>
  <c r="BH18" i="10"/>
  <c r="BH21" i="10"/>
  <c r="I73" i="9" l="1"/>
  <c r="H73" i="9"/>
  <c r="F73" i="9"/>
  <c r="E73" i="9"/>
  <c r="D73" i="9"/>
  <c r="I63" i="9"/>
  <c r="H63" i="9"/>
  <c r="G63" i="9"/>
  <c r="F63" i="9"/>
  <c r="E63" i="9"/>
  <c r="D63" i="9"/>
  <c r="I61" i="9"/>
  <c r="H61" i="9"/>
  <c r="G61" i="9"/>
  <c r="F61" i="9"/>
  <c r="E61" i="9"/>
  <c r="D61" i="9"/>
  <c r="C61" i="9"/>
  <c r="C74" i="9" s="1"/>
  <c r="I59" i="9"/>
  <c r="H59" i="9"/>
  <c r="G59" i="9"/>
  <c r="F59" i="9"/>
  <c r="E59" i="9"/>
  <c r="D59" i="9"/>
  <c r="H55" i="9"/>
  <c r="G55" i="9"/>
  <c r="E55" i="9"/>
  <c r="D55" i="9"/>
  <c r="F16" i="9"/>
  <c r="H16" i="9" s="1"/>
  <c r="F15" i="9"/>
  <c r="H15" i="9" s="1"/>
  <c r="F14" i="9"/>
  <c r="H14" i="9" s="1"/>
  <c r="F13" i="9"/>
  <c r="H13" i="9" s="1"/>
  <c r="F12" i="9"/>
  <c r="H12" i="9" s="1"/>
  <c r="F10" i="9"/>
  <c r="H10" i="9" s="1"/>
  <c r="F9" i="9"/>
  <c r="H9" i="9" s="1"/>
  <c r="F8" i="9"/>
  <c r="H8" i="9" s="1"/>
  <c r="H17" i="9" l="1"/>
  <c r="H26" i="9" s="1"/>
  <c r="G31" i="9" s="1"/>
  <c r="I49" i="9" s="1"/>
  <c r="J55" i="9"/>
  <c r="H74" i="9"/>
  <c r="H75" i="9" s="1"/>
  <c r="F74" i="9"/>
  <c r="F75" i="9" s="1"/>
  <c r="G74" i="9"/>
  <c r="G75" i="9" s="1"/>
  <c r="I74" i="9"/>
  <c r="I75" i="9" s="1"/>
  <c r="D74" i="9"/>
  <c r="D75" i="9" s="1"/>
  <c r="E74" i="9"/>
  <c r="E75" i="9" s="1"/>
  <c r="G92" i="9"/>
  <c r="C75" i="9"/>
  <c r="C62" i="4"/>
  <c r="D10" i="5"/>
  <c r="D9" i="5"/>
  <c r="D8" i="5"/>
  <c r="I79" i="9" s="1"/>
  <c r="D7" i="5"/>
  <c r="I8" i="9" l="1"/>
  <c r="J74" i="9"/>
  <c r="I15" i="9"/>
  <c r="I16" i="9"/>
  <c r="I9" i="9"/>
  <c r="I14" i="9"/>
  <c r="H79" i="9"/>
  <c r="G79" i="9"/>
  <c r="F79" i="9"/>
  <c r="E79" i="9"/>
  <c r="D79" i="9"/>
  <c r="C79" i="9"/>
  <c r="J75" i="9"/>
  <c r="I13" i="9"/>
  <c r="I10" i="9"/>
  <c r="I12" i="9"/>
  <c r="E78" i="4"/>
  <c r="D78" i="4"/>
  <c r="C78" i="4"/>
  <c r="F78" i="4"/>
  <c r="G78" i="4"/>
  <c r="H78" i="4"/>
  <c r="I78" i="4"/>
  <c r="C60" i="4"/>
  <c r="H27" i="9" l="1"/>
  <c r="D49" i="9"/>
  <c r="C49" i="9"/>
  <c r="I17" i="9"/>
  <c r="E49" i="9"/>
  <c r="F49" i="9"/>
  <c r="H49" i="9"/>
  <c r="G49" i="9"/>
  <c r="G80" i="9"/>
  <c r="G83" i="9" s="1"/>
  <c r="D80" i="9"/>
  <c r="D83" i="9" s="1"/>
  <c r="I80" i="9"/>
  <c r="I83" i="9" s="1"/>
  <c r="E80" i="9"/>
  <c r="E83" i="9" s="1"/>
  <c r="F80" i="9"/>
  <c r="F83" i="9" s="1"/>
  <c r="H80" i="9"/>
  <c r="H83" i="9" s="1"/>
  <c r="C80" i="9"/>
  <c r="C83" i="9" s="1"/>
  <c r="E58" i="4"/>
  <c r="E56" i="4"/>
  <c r="H24" i="4"/>
  <c r="C56" i="4"/>
  <c r="F11" i="4"/>
  <c r="H11" i="4" s="1"/>
  <c r="J49" i="9" l="1"/>
  <c r="G78" i="9"/>
  <c r="G84" i="9" s="1"/>
  <c r="G86" i="9" s="1"/>
  <c r="F78" i="9"/>
  <c r="F84" i="9" s="1"/>
  <c r="F86" i="9" s="1"/>
  <c r="E78" i="9"/>
  <c r="E84" i="9" s="1"/>
  <c r="E86" i="9" s="1"/>
  <c r="D78" i="9"/>
  <c r="D84" i="9" s="1"/>
  <c r="D86" i="9" s="1"/>
  <c r="H78" i="9"/>
  <c r="H84" i="9" s="1"/>
  <c r="H86" i="9" s="1"/>
  <c r="I78" i="9"/>
  <c r="I84" i="9" s="1"/>
  <c r="I86" i="9" s="1"/>
  <c r="C78" i="9"/>
  <c r="C84" i="9" s="1"/>
  <c r="I54" i="4"/>
  <c r="J84" i="9" l="1"/>
  <c r="C86" i="9"/>
  <c r="C87" i="9" s="1"/>
  <c r="F54" i="4"/>
  <c r="C54" i="4"/>
  <c r="G54" i="4"/>
  <c r="D54" i="4"/>
  <c r="H54" i="4"/>
  <c r="E54" i="4"/>
  <c r="F15" i="4"/>
  <c r="H15" i="4" s="1"/>
  <c r="F14" i="4"/>
  <c r="H14" i="4" s="1"/>
  <c r="F13" i="4"/>
  <c r="H13" i="4" s="1"/>
  <c r="F12" i="4"/>
  <c r="H12" i="4" s="1"/>
  <c r="F10" i="4"/>
  <c r="H10" i="4" s="1"/>
  <c r="I62" i="4"/>
  <c r="H62" i="4"/>
  <c r="G62" i="4"/>
  <c r="F62" i="4"/>
  <c r="E62" i="4"/>
  <c r="D62" i="4"/>
  <c r="I60" i="4"/>
  <c r="H60" i="4"/>
  <c r="G60" i="4"/>
  <c r="F60" i="4"/>
  <c r="D60" i="4"/>
  <c r="I58" i="4"/>
  <c r="H58" i="4"/>
  <c r="G58" i="4"/>
  <c r="F58" i="4"/>
  <c r="D58" i="4"/>
  <c r="C58" i="4"/>
  <c r="C73" i="4" s="1"/>
  <c r="I56" i="4"/>
  <c r="H56" i="4"/>
  <c r="G56" i="4"/>
  <c r="F56" i="4"/>
  <c r="D56" i="4"/>
  <c r="E60" i="4"/>
  <c r="H16" i="4" l="1"/>
  <c r="I73" i="4"/>
  <c r="F73" i="4"/>
  <c r="G73" i="4"/>
  <c r="H73" i="4"/>
  <c r="E73" i="4"/>
  <c r="D73" i="4"/>
  <c r="G91" i="4"/>
  <c r="J54" i="4"/>
  <c r="I8" i="4" l="1"/>
  <c r="I9" i="4"/>
  <c r="G90" i="9"/>
  <c r="G88" i="9"/>
  <c r="J73" i="4"/>
  <c r="H25" i="4"/>
  <c r="H26" i="4" s="1"/>
  <c r="G105" i="4" s="1"/>
  <c r="I15" i="4"/>
  <c r="I10" i="4"/>
  <c r="I11" i="4"/>
  <c r="I12" i="4"/>
  <c r="I13" i="4"/>
  <c r="I14" i="4"/>
  <c r="G30" i="4" l="1"/>
  <c r="C48" i="4" s="1"/>
  <c r="I16" i="4"/>
  <c r="D74" i="4"/>
  <c r="H74" i="4"/>
  <c r="F74" i="4"/>
  <c r="C74" i="4"/>
  <c r="G74" i="4"/>
  <c r="E74" i="4"/>
  <c r="I74" i="4"/>
  <c r="G48" i="4" l="1"/>
  <c r="G77" i="4" s="1"/>
  <c r="C79" i="4"/>
  <c r="E79" i="4"/>
  <c r="D79" i="4"/>
  <c r="F79" i="4"/>
  <c r="G79" i="4"/>
  <c r="H79" i="4"/>
  <c r="I79" i="4"/>
  <c r="C77" i="4"/>
  <c r="I48" i="4"/>
  <c r="I77" i="4" s="1"/>
  <c r="H48" i="4"/>
  <c r="H77" i="4" s="1"/>
  <c r="D48" i="4"/>
  <c r="D77" i="4" s="1"/>
  <c r="E48" i="4"/>
  <c r="E77" i="4" s="1"/>
  <c r="F48" i="4"/>
  <c r="F77" i="4" s="1"/>
  <c r="J74" i="4"/>
  <c r="J48" i="4" l="1"/>
  <c r="G82" i="4" l="1"/>
  <c r="F82" i="4" l="1"/>
  <c r="E82" i="4"/>
  <c r="I82" i="4"/>
  <c r="D82" i="4"/>
  <c r="G83" i="4"/>
  <c r="C82" i="4"/>
  <c r="H82" i="4"/>
  <c r="G85" i="4" l="1"/>
  <c r="F83" i="4"/>
  <c r="D83" i="4"/>
  <c r="E83" i="4"/>
  <c r="I83" i="4"/>
  <c r="H83" i="4"/>
  <c r="C83" i="4"/>
  <c r="J83" i="4" l="1"/>
  <c r="H85" i="4"/>
  <c r="I85" i="4"/>
  <c r="E85" i="4"/>
  <c r="F85" i="4"/>
  <c r="C85" i="4"/>
  <c r="D85" i="4"/>
  <c r="C86" i="4" l="1"/>
  <c r="G87" i="4" s="1"/>
  <c r="G103" i="4" l="1"/>
  <c r="G102" i="4"/>
  <c r="G89" i="4"/>
  <c r="G104" i="4" s="1"/>
</calcChain>
</file>

<file path=xl/sharedStrings.xml><?xml version="1.0" encoding="utf-8"?>
<sst xmlns="http://schemas.openxmlformats.org/spreadsheetml/2006/main" count="2158" uniqueCount="257">
  <si>
    <t>Konštrukcia</t>
  </si>
  <si>
    <t>Súčty</t>
  </si>
  <si>
    <t>Vyhovuje ?</t>
  </si>
  <si>
    <t>1. Budova</t>
  </si>
  <si>
    <r>
      <rPr>
        <b/>
        <sz val="8"/>
        <color theme="1"/>
        <rFont val="Arial CE"/>
        <family val="2"/>
        <charset val="238"/>
      </rPr>
      <t>Obostavaný objem</t>
    </r>
    <r>
      <rPr>
        <sz val="8"/>
        <color theme="1"/>
        <rFont val="Arial CE"/>
        <family val="2"/>
        <charset val="238"/>
      </rPr>
      <t xml:space="preserve"> (m³)</t>
    </r>
  </si>
  <si>
    <r>
      <rPr>
        <b/>
        <sz val="8"/>
        <color theme="1"/>
        <rFont val="Arial CE"/>
        <family val="2"/>
        <charset val="238"/>
      </rPr>
      <t>Merná plocha</t>
    </r>
    <r>
      <rPr>
        <sz val="8"/>
        <color theme="1"/>
        <rFont val="Arial CE"/>
        <family val="2"/>
        <charset val="238"/>
      </rPr>
      <t xml:space="preserve"> (m²)</t>
    </r>
  </si>
  <si>
    <r>
      <t>V</t>
    </r>
    <r>
      <rPr>
        <i/>
        <vertAlign val="subscript"/>
        <sz val="8"/>
        <color theme="1"/>
        <rFont val="Arial CE"/>
        <family val="2"/>
        <charset val="238"/>
      </rPr>
      <t>b</t>
    </r>
    <r>
      <rPr>
        <i/>
        <sz val="8"/>
        <color theme="1"/>
        <rFont val="Arial CE"/>
        <family val="2"/>
        <charset val="238"/>
      </rPr>
      <t>=</t>
    </r>
  </si>
  <si>
    <r>
      <t>A</t>
    </r>
    <r>
      <rPr>
        <i/>
        <vertAlign val="subscript"/>
        <sz val="8"/>
        <color theme="1"/>
        <rFont val="Arial CE"/>
        <family val="2"/>
        <charset val="238"/>
      </rPr>
      <t>b</t>
    </r>
    <r>
      <rPr>
        <i/>
        <sz val="8"/>
        <color theme="1"/>
        <rFont val="Arial CE"/>
        <family val="2"/>
        <charset val="238"/>
      </rPr>
      <t>=</t>
    </r>
  </si>
  <si>
    <t>Budova</t>
  </si>
  <si>
    <t>nová</t>
  </si>
  <si>
    <r>
      <rPr>
        <b/>
        <sz val="8"/>
        <color theme="1"/>
        <rFont val="Arial CE"/>
        <family val="2"/>
        <charset val="238"/>
      </rPr>
      <t>Priemerná konštrukčná výška vykurovaných podlaží</t>
    </r>
    <r>
      <rPr>
        <sz val="8"/>
        <color theme="1"/>
        <rFont val="Arial CE"/>
        <family val="2"/>
        <charset val="238"/>
      </rPr>
      <t xml:space="preserve"> (m)</t>
    </r>
  </si>
  <si>
    <r>
      <t>h</t>
    </r>
    <r>
      <rPr>
        <i/>
        <vertAlign val="subscript"/>
        <sz val="8"/>
        <color theme="1"/>
        <rFont val="Arial CE"/>
        <family val="2"/>
        <charset val="238"/>
      </rPr>
      <t>k,pr</t>
    </r>
    <r>
      <rPr>
        <i/>
        <sz val="8"/>
        <color theme="1"/>
        <rFont val="Arial CE"/>
        <family val="2"/>
        <charset val="238"/>
      </rPr>
      <t>=</t>
    </r>
  </si>
  <si>
    <r>
      <t xml:space="preserve">2. Merná tepelná strata prechodom tepla </t>
    </r>
    <r>
      <rPr>
        <i/>
        <sz val="8"/>
        <color theme="1"/>
        <rFont val="Arial CE"/>
        <family val="2"/>
        <charset val="238"/>
      </rPr>
      <t>H</t>
    </r>
    <r>
      <rPr>
        <i/>
        <vertAlign val="subscript"/>
        <sz val="8"/>
        <color theme="1"/>
        <rFont val="Arial CE"/>
        <family val="2"/>
        <charset val="238"/>
      </rPr>
      <t>T</t>
    </r>
    <r>
      <rPr>
        <i/>
        <sz val="8"/>
        <color theme="1"/>
        <rFont val="Arial CE"/>
        <family val="2"/>
        <charset val="238"/>
      </rPr>
      <t xml:space="preserve"> (W/K)</t>
    </r>
  </si>
  <si>
    <r>
      <rPr>
        <b/>
        <sz val="7"/>
        <color theme="1"/>
        <rFont val="Arial CE"/>
        <family val="2"/>
        <charset val="238"/>
      </rPr>
      <t>Plocha A</t>
    </r>
    <r>
      <rPr>
        <b/>
        <vertAlign val="subscript"/>
        <sz val="7"/>
        <color theme="1"/>
        <rFont val="Arial CE"/>
        <family val="2"/>
        <charset val="238"/>
      </rPr>
      <t>i</t>
    </r>
    <r>
      <rPr>
        <sz val="7"/>
        <color theme="1"/>
        <rFont val="Arial CE"/>
        <family val="2"/>
        <charset val="238"/>
      </rPr>
      <t xml:space="preserve"> (m²)</t>
    </r>
  </si>
  <si>
    <r>
      <rPr>
        <b/>
        <sz val="7"/>
        <color theme="1"/>
        <rFont val="Arial CE"/>
        <family val="2"/>
        <charset val="238"/>
      </rPr>
      <t>U</t>
    </r>
    <r>
      <rPr>
        <b/>
        <vertAlign val="subscript"/>
        <sz val="7"/>
        <color theme="1"/>
        <rFont val="Arial CE"/>
        <family val="2"/>
        <charset val="238"/>
      </rPr>
      <t>i</t>
    </r>
    <r>
      <rPr>
        <sz val="7"/>
        <color theme="1"/>
        <rFont val="Arial CE"/>
        <family val="2"/>
        <charset val="238"/>
      </rPr>
      <t xml:space="preserve"> (W/(m².K))</t>
    </r>
  </si>
  <si>
    <r>
      <rPr>
        <b/>
        <sz val="7"/>
        <color theme="1"/>
        <rFont val="Arial CE"/>
        <family val="2"/>
        <charset val="238"/>
      </rPr>
      <t>U</t>
    </r>
    <r>
      <rPr>
        <b/>
        <vertAlign val="subscript"/>
        <sz val="7"/>
        <color theme="1"/>
        <rFont val="Arial CE"/>
        <family val="2"/>
        <charset val="238"/>
      </rPr>
      <t>i</t>
    </r>
    <r>
      <rPr>
        <b/>
        <sz val="7"/>
        <color theme="1"/>
        <rFont val="Arial CE"/>
        <family val="2"/>
        <charset val="238"/>
      </rPr>
      <t xml:space="preserve"> . A</t>
    </r>
    <r>
      <rPr>
        <b/>
        <vertAlign val="subscript"/>
        <sz val="7"/>
        <color theme="1"/>
        <rFont val="Arial CE"/>
        <family val="2"/>
        <charset val="238"/>
      </rPr>
      <t>i</t>
    </r>
    <r>
      <rPr>
        <sz val="7"/>
        <color theme="1"/>
        <rFont val="Arial CE"/>
        <family val="2"/>
        <charset val="238"/>
      </rPr>
      <t xml:space="preserve"> (W/K)</t>
    </r>
  </si>
  <si>
    <r>
      <rPr>
        <b/>
        <sz val="7"/>
        <color theme="1"/>
        <rFont val="Arial CE"/>
        <family val="2"/>
        <charset val="238"/>
      </rPr>
      <t>Faktor b</t>
    </r>
    <r>
      <rPr>
        <b/>
        <vertAlign val="subscript"/>
        <sz val="7"/>
        <color theme="1"/>
        <rFont val="Arial CE"/>
        <family val="2"/>
        <charset val="238"/>
      </rPr>
      <t>x</t>
    </r>
    <r>
      <rPr>
        <sz val="7"/>
        <color theme="1"/>
        <rFont val="Arial CE"/>
        <family val="2"/>
        <charset val="238"/>
      </rPr>
      <t xml:space="preserve"> (-)</t>
    </r>
  </si>
  <si>
    <r>
      <rPr>
        <b/>
        <sz val="7"/>
        <color theme="1"/>
        <rFont val="Arial CE"/>
        <family val="2"/>
        <charset val="238"/>
      </rPr>
      <t>b</t>
    </r>
    <r>
      <rPr>
        <b/>
        <vertAlign val="subscript"/>
        <sz val="7"/>
        <color theme="1"/>
        <rFont val="Arial CE"/>
        <family val="2"/>
        <charset val="238"/>
      </rPr>
      <t>x</t>
    </r>
    <r>
      <rPr>
        <b/>
        <sz val="7"/>
        <color theme="1"/>
        <rFont val="Arial CE"/>
        <family val="2"/>
        <charset val="238"/>
      </rPr>
      <t>.U</t>
    </r>
    <r>
      <rPr>
        <b/>
        <vertAlign val="subscript"/>
        <sz val="7"/>
        <color theme="1"/>
        <rFont val="Arial CE"/>
        <family val="2"/>
        <charset val="238"/>
      </rPr>
      <t>i</t>
    </r>
    <r>
      <rPr>
        <b/>
        <sz val="7"/>
        <color theme="1"/>
        <rFont val="Arial CE"/>
        <family val="2"/>
        <charset val="238"/>
      </rPr>
      <t>.A</t>
    </r>
    <r>
      <rPr>
        <b/>
        <vertAlign val="subscript"/>
        <sz val="7"/>
        <color theme="1"/>
        <rFont val="Arial CE"/>
        <family val="2"/>
        <charset val="238"/>
      </rPr>
      <t>i</t>
    </r>
    <r>
      <rPr>
        <sz val="7"/>
        <color theme="1"/>
        <rFont val="Arial CE"/>
        <family val="2"/>
        <charset val="238"/>
      </rPr>
      <t xml:space="preserve"> (W/K)</t>
    </r>
  </si>
  <si>
    <t>∑Ai =</t>
  </si>
  <si>
    <r>
      <t xml:space="preserve"> ∑b</t>
    </r>
    <r>
      <rPr>
        <b/>
        <vertAlign val="subscript"/>
        <sz val="8"/>
        <color theme="1"/>
        <rFont val="Arial Narrow"/>
        <family val="2"/>
        <charset val="238"/>
      </rPr>
      <t>x</t>
    </r>
    <r>
      <rPr>
        <b/>
        <sz val="8"/>
        <color theme="1"/>
        <rFont val="Arial Narrow"/>
        <family val="2"/>
        <charset val="238"/>
      </rPr>
      <t xml:space="preserve"> . U</t>
    </r>
    <r>
      <rPr>
        <b/>
        <vertAlign val="subscript"/>
        <sz val="8"/>
        <color theme="1"/>
        <rFont val="Arial Narrow"/>
        <family val="2"/>
        <charset val="238"/>
      </rPr>
      <t>i</t>
    </r>
    <r>
      <rPr>
        <b/>
        <sz val="8"/>
        <color theme="1"/>
        <rFont val="Arial Narrow"/>
        <family val="2"/>
        <charset val="238"/>
      </rPr>
      <t xml:space="preserve"> . A</t>
    </r>
    <r>
      <rPr>
        <b/>
        <vertAlign val="subscript"/>
        <sz val="8"/>
        <color theme="1"/>
        <rFont val="Arial Narrow"/>
        <family val="2"/>
        <charset val="238"/>
      </rPr>
      <t>i</t>
    </r>
    <r>
      <rPr>
        <b/>
        <sz val="8"/>
        <color theme="1"/>
        <rFont val="Arial Narrow"/>
        <family val="2"/>
        <charset val="238"/>
      </rPr>
      <t xml:space="preserve"> =</t>
    </r>
  </si>
  <si>
    <t>Exaktne:</t>
  </si>
  <si>
    <t>ΔU =</t>
  </si>
  <si>
    <t>Paušálne:</t>
  </si>
  <si>
    <r>
      <t xml:space="preserve">Vplyv tepelných mostov </t>
    </r>
    <r>
      <rPr>
        <i/>
        <sz val="8"/>
        <color theme="1"/>
        <rFont val="Arial CE"/>
        <family val="2"/>
        <charset val="238"/>
      </rPr>
      <t>ΔH</t>
    </r>
    <r>
      <rPr>
        <i/>
        <vertAlign val="subscript"/>
        <sz val="8"/>
        <color theme="1"/>
        <rFont val="Arial CE"/>
        <family val="2"/>
        <charset val="238"/>
      </rPr>
      <t>TM</t>
    </r>
    <r>
      <rPr>
        <sz val="8"/>
        <color theme="1"/>
        <rFont val="Arial CE"/>
        <family val="2"/>
        <charset val="238"/>
      </rPr>
      <t xml:space="preserve"> </t>
    </r>
    <r>
      <rPr>
        <i/>
        <sz val="8"/>
        <color theme="1"/>
        <rFont val="Arial CE"/>
        <family val="2"/>
        <charset val="238"/>
      </rPr>
      <t>(W/K)</t>
    </r>
  </si>
  <si>
    <r>
      <t>ΔH</t>
    </r>
    <r>
      <rPr>
        <i/>
        <vertAlign val="subscript"/>
        <sz val="8"/>
        <color theme="1"/>
        <rFont val="Arial CE"/>
        <family val="2"/>
        <charset val="238"/>
      </rPr>
      <t>TM</t>
    </r>
    <r>
      <rPr>
        <i/>
        <sz val="8"/>
        <color theme="1"/>
        <rFont val="Arial CE"/>
        <family val="2"/>
        <charset val="238"/>
      </rPr>
      <t xml:space="preserve"> = ΔU . ∑A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 xml:space="preserve"> =</t>
    </r>
  </si>
  <si>
    <r>
      <t xml:space="preserve">Merná tepelná strata </t>
    </r>
    <r>
      <rPr>
        <i/>
        <sz val="8"/>
        <color theme="1"/>
        <rFont val="Arial CE"/>
        <family val="2"/>
        <charset val="238"/>
      </rPr>
      <t>H</t>
    </r>
    <r>
      <rPr>
        <i/>
        <vertAlign val="subscript"/>
        <sz val="8"/>
        <color theme="1"/>
        <rFont val="Arial CE"/>
        <family val="2"/>
        <charset val="238"/>
      </rPr>
      <t>T</t>
    </r>
    <r>
      <rPr>
        <i/>
        <sz val="8"/>
        <color theme="1"/>
        <rFont val="Arial CE"/>
        <family val="2"/>
        <charset val="238"/>
      </rPr>
      <t xml:space="preserve"> (W/K)</t>
    </r>
  </si>
  <si>
    <r>
      <t>H</t>
    </r>
    <r>
      <rPr>
        <i/>
        <vertAlign val="subscript"/>
        <sz val="8"/>
        <color theme="1"/>
        <rFont val="Arial CE"/>
        <family val="2"/>
        <charset val="238"/>
      </rPr>
      <t>T</t>
    </r>
    <r>
      <rPr>
        <i/>
        <sz val="8"/>
        <color theme="1"/>
        <rFont val="Arial CE"/>
        <family val="2"/>
        <charset val="238"/>
      </rPr>
      <t xml:space="preserve"> = </t>
    </r>
    <r>
      <rPr>
        <sz val="8"/>
        <color theme="1"/>
        <rFont val="Arial CE"/>
        <family val="2"/>
        <charset val="238"/>
      </rPr>
      <t>∑</t>
    </r>
    <r>
      <rPr>
        <i/>
        <sz val="8"/>
        <color theme="1"/>
        <rFont val="Arial CE"/>
        <family val="2"/>
        <charset val="238"/>
      </rPr>
      <t>b</t>
    </r>
    <r>
      <rPr>
        <i/>
        <vertAlign val="subscript"/>
        <sz val="8"/>
        <color theme="1"/>
        <rFont val="Arial CE"/>
        <family val="2"/>
        <charset val="238"/>
      </rPr>
      <t>x</t>
    </r>
    <r>
      <rPr>
        <i/>
        <sz val="8"/>
        <color theme="1"/>
        <rFont val="Arial CE"/>
        <family val="2"/>
        <charset val="238"/>
      </rPr>
      <t xml:space="preserve"> .U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 xml:space="preserve"> . A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 xml:space="preserve"> + </t>
    </r>
    <r>
      <rPr>
        <sz val="8"/>
        <color theme="1"/>
        <rFont val="Arial CE"/>
        <family val="2"/>
        <charset val="238"/>
      </rPr>
      <t>Δ</t>
    </r>
    <r>
      <rPr>
        <i/>
        <sz val="8"/>
        <color theme="1"/>
        <rFont val="Arial CE"/>
        <family val="2"/>
        <charset val="238"/>
      </rPr>
      <t xml:space="preserve">U . </t>
    </r>
    <r>
      <rPr>
        <sz val="8"/>
        <color theme="1"/>
        <rFont val="Arial CE"/>
        <family val="2"/>
        <charset val="238"/>
      </rPr>
      <t>∑</t>
    </r>
    <r>
      <rPr>
        <i/>
        <sz val="8"/>
        <color theme="1"/>
        <rFont val="Arial CE"/>
        <family val="2"/>
        <charset val="238"/>
      </rPr>
      <t>A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>=</t>
    </r>
  </si>
  <si>
    <t>Priemerný súčiniteľ prechodu tepla (W/(m².K))</t>
  </si>
  <si>
    <r>
      <t>U</t>
    </r>
    <r>
      <rPr>
        <i/>
        <vertAlign val="subscript"/>
        <sz val="8"/>
        <color theme="1"/>
        <rFont val="Arial CE"/>
        <family val="2"/>
        <charset val="238"/>
      </rPr>
      <t>m</t>
    </r>
    <r>
      <rPr>
        <i/>
        <sz val="8"/>
        <color theme="1"/>
        <rFont val="Arial CE"/>
        <family val="2"/>
        <charset val="238"/>
      </rPr>
      <t xml:space="preserve"> = H</t>
    </r>
    <r>
      <rPr>
        <i/>
        <vertAlign val="subscript"/>
        <sz val="8"/>
        <color theme="1"/>
        <rFont val="Arial CE"/>
        <family val="2"/>
        <charset val="238"/>
      </rPr>
      <t>T</t>
    </r>
    <r>
      <rPr>
        <i/>
        <sz val="8"/>
        <color theme="1"/>
        <rFont val="Arial CE"/>
        <family val="2"/>
        <charset val="238"/>
      </rPr>
      <t>/</t>
    </r>
    <r>
      <rPr>
        <sz val="8"/>
        <color theme="1"/>
        <rFont val="Arial CE"/>
        <family val="2"/>
        <charset val="238"/>
      </rPr>
      <t>∑</t>
    </r>
    <r>
      <rPr>
        <i/>
        <sz val="8"/>
        <color theme="1"/>
        <rFont val="Arial CE"/>
        <family val="2"/>
        <charset val="238"/>
      </rPr>
      <t>A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>=</t>
    </r>
  </si>
  <si>
    <r>
      <t xml:space="preserve">4. Merná tepelná strata vetraním </t>
    </r>
    <r>
      <rPr>
        <i/>
        <sz val="8"/>
        <color theme="1"/>
        <rFont val="Arial CE"/>
        <family val="2"/>
        <charset val="238"/>
      </rPr>
      <t>H</t>
    </r>
    <r>
      <rPr>
        <i/>
        <vertAlign val="subscript"/>
        <sz val="8"/>
        <color theme="1"/>
        <rFont val="Arial CE"/>
        <family val="2"/>
        <charset val="238"/>
      </rPr>
      <t>V</t>
    </r>
    <r>
      <rPr>
        <i/>
        <sz val="8"/>
        <color theme="1"/>
        <rFont val="Arial CE"/>
        <family val="2"/>
        <charset val="238"/>
      </rPr>
      <t xml:space="preserve"> (W/K)</t>
    </r>
  </si>
  <si>
    <t>Intenzita výmeny vzduchu (1/h)</t>
  </si>
  <si>
    <r>
      <t>H</t>
    </r>
    <r>
      <rPr>
        <b/>
        <i/>
        <vertAlign val="subscript"/>
        <sz val="8"/>
        <color theme="1"/>
        <rFont val="Arial CE"/>
        <family val="2"/>
        <charset val="238"/>
      </rPr>
      <t>v</t>
    </r>
    <r>
      <rPr>
        <b/>
        <i/>
        <sz val="8"/>
        <color theme="1"/>
        <rFont val="Arial CE"/>
        <family val="2"/>
        <charset val="238"/>
      </rPr>
      <t xml:space="preserve"> =</t>
    </r>
  </si>
  <si>
    <t>n =</t>
  </si>
  <si>
    <r>
      <t xml:space="preserve">5. Merná tepelná strata </t>
    </r>
    <r>
      <rPr>
        <i/>
        <sz val="8"/>
        <color theme="1"/>
        <rFont val="Arial CE"/>
        <family val="2"/>
        <charset val="238"/>
      </rPr>
      <t>H = H</t>
    </r>
    <r>
      <rPr>
        <i/>
        <vertAlign val="subscript"/>
        <sz val="8"/>
        <color theme="1"/>
        <rFont val="Arial CE"/>
        <family val="2"/>
        <charset val="238"/>
      </rPr>
      <t>T</t>
    </r>
    <r>
      <rPr>
        <i/>
        <sz val="8"/>
        <color theme="1"/>
        <rFont val="Arial CE"/>
        <family val="2"/>
        <charset val="238"/>
      </rPr>
      <t xml:space="preserve"> + H</t>
    </r>
    <r>
      <rPr>
        <i/>
        <vertAlign val="subscript"/>
        <sz val="8"/>
        <color theme="1"/>
        <rFont val="Arial CE"/>
        <family val="2"/>
        <charset val="238"/>
      </rPr>
      <t>V</t>
    </r>
    <r>
      <rPr>
        <i/>
        <sz val="8"/>
        <color theme="1"/>
        <rFont val="Arial CE"/>
        <family val="2"/>
        <charset val="238"/>
      </rPr>
      <t xml:space="preserve"> (W/K)</t>
    </r>
  </si>
  <si>
    <t>H =</t>
  </si>
  <si>
    <r>
      <rPr>
        <b/>
        <sz val="8"/>
        <color theme="1"/>
        <rFont val="Arial CE"/>
        <family val="2"/>
        <charset val="238"/>
      </rPr>
      <t>6. Solárne zisky</t>
    </r>
    <r>
      <rPr>
        <sz val="8"/>
        <color theme="1"/>
        <rFont val="Arial CE"/>
        <family val="2"/>
        <charset val="238"/>
      </rPr>
      <t xml:space="preserve"> </t>
    </r>
    <r>
      <rPr>
        <i/>
        <sz val="8"/>
        <color theme="1"/>
        <rFont val="Arial CE"/>
        <family val="2"/>
        <charset val="238"/>
      </rPr>
      <t>Q</t>
    </r>
    <r>
      <rPr>
        <i/>
        <vertAlign val="subscript"/>
        <sz val="8"/>
        <color theme="1"/>
        <rFont val="Arial CE"/>
        <family val="2"/>
        <charset val="238"/>
      </rPr>
      <t>s</t>
    </r>
    <r>
      <rPr>
        <i/>
        <sz val="8"/>
        <color theme="1"/>
        <rFont val="Arial CE"/>
        <family val="2"/>
        <charset val="238"/>
      </rPr>
      <t xml:space="preserve"> (kWh)</t>
    </r>
  </si>
  <si>
    <r>
      <t>q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 xml:space="preserve"> (W/m²):</t>
    </r>
  </si>
  <si>
    <t>Rodinný dom</t>
  </si>
  <si>
    <t>Bytový dom</t>
  </si>
  <si>
    <t>Verejná budova</t>
  </si>
  <si>
    <r>
      <t xml:space="preserve">12. Faktor tvaru budovy  </t>
    </r>
    <r>
      <rPr>
        <i/>
        <sz val="8"/>
        <color theme="1"/>
        <rFont val="Arial CE"/>
        <family val="2"/>
        <charset val="238"/>
      </rPr>
      <t>∑A</t>
    </r>
    <r>
      <rPr>
        <i/>
        <vertAlign val="subscript"/>
        <sz val="8"/>
        <color theme="1"/>
        <rFont val="Arial CE"/>
        <family val="2"/>
        <charset val="238"/>
      </rPr>
      <t>i</t>
    </r>
    <r>
      <rPr>
        <i/>
        <sz val="8"/>
        <color theme="1"/>
        <rFont val="Arial CE"/>
        <family val="2"/>
        <charset val="238"/>
      </rPr>
      <t>/V</t>
    </r>
    <r>
      <rPr>
        <i/>
        <vertAlign val="subscript"/>
        <sz val="8"/>
        <color theme="1"/>
        <rFont val="Arial CE"/>
        <family val="2"/>
        <charset val="238"/>
      </rPr>
      <t>b</t>
    </r>
    <r>
      <rPr>
        <i/>
        <sz val="8"/>
        <color theme="1"/>
        <rFont val="Arial CE"/>
        <family val="2"/>
        <charset val="238"/>
      </rPr>
      <t xml:space="preserve"> (1/m)</t>
    </r>
  </si>
  <si>
    <r>
      <t>∑A</t>
    </r>
    <r>
      <rPr>
        <b/>
        <i/>
        <vertAlign val="subscript"/>
        <sz val="8"/>
        <color theme="1"/>
        <rFont val="Arial CE"/>
        <family val="2"/>
        <charset val="238"/>
      </rPr>
      <t>i</t>
    </r>
    <r>
      <rPr>
        <b/>
        <i/>
        <sz val="8"/>
        <color theme="1"/>
        <rFont val="Arial CE"/>
        <family val="2"/>
        <charset val="238"/>
      </rPr>
      <t>/V</t>
    </r>
    <r>
      <rPr>
        <b/>
        <i/>
        <vertAlign val="subscript"/>
        <sz val="8"/>
        <color theme="1"/>
        <rFont val="Arial CE"/>
        <family val="2"/>
        <charset val="238"/>
      </rPr>
      <t>b</t>
    </r>
    <r>
      <rPr>
        <b/>
        <i/>
        <sz val="8"/>
        <color theme="1"/>
        <rFont val="Arial CE"/>
        <family val="2"/>
        <charset val="238"/>
      </rPr>
      <t xml:space="preserve"> =</t>
    </r>
  </si>
  <si>
    <t>13. Normové hodnoty</t>
  </si>
  <si>
    <r>
      <t>g</t>
    </r>
    <r>
      <rPr>
        <i/>
        <vertAlign val="subscript"/>
        <sz val="8"/>
        <color theme="1"/>
        <rFont val="Arial CE"/>
        <family val="2"/>
        <charset val="238"/>
      </rPr>
      <t xml:space="preserve">Kolmé </t>
    </r>
    <r>
      <rPr>
        <i/>
        <sz val="8"/>
        <color theme="1"/>
        <rFont val="Arial CE"/>
        <charset val="238"/>
      </rPr>
      <t>(-)</t>
    </r>
  </si>
  <si>
    <r>
      <t>A</t>
    </r>
    <r>
      <rPr>
        <i/>
        <vertAlign val="subscript"/>
        <sz val="8"/>
        <color theme="1"/>
        <rFont val="Arial CE"/>
        <family val="2"/>
        <charset val="238"/>
      </rPr>
      <t xml:space="preserve">nj </t>
    </r>
    <r>
      <rPr>
        <i/>
        <sz val="8"/>
        <color theme="1"/>
        <rFont val="Arial CE"/>
        <charset val="238"/>
      </rPr>
      <t>(m</t>
    </r>
    <r>
      <rPr>
        <i/>
        <vertAlign val="superscript"/>
        <sz val="8"/>
        <color theme="1"/>
        <rFont val="Arial CE"/>
        <charset val="238"/>
      </rPr>
      <t>2</t>
    </r>
    <r>
      <rPr>
        <i/>
        <sz val="8"/>
        <color theme="1"/>
        <rFont val="Arial CE"/>
        <charset val="238"/>
      </rPr>
      <t>)</t>
    </r>
  </si>
  <si>
    <r>
      <t>F</t>
    </r>
    <r>
      <rPr>
        <i/>
        <vertAlign val="subscript"/>
        <sz val="8"/>
        <color theme="1"/>
        <rFont val="Arial CE"/>
        <charset val="238"/>
      </rPr>
      <t>w</t>
    </r>
    <r>
      <rPr>
        <i/>
        <sz val="8"/>
        <color theme="1"/>
        <rFont val="Arial CE"/>
        <family val="2"/>
        <charset val="238"/>
      </rPr>
      <t xml:space="preserve">  (-)</t>
    </r>
  </si>
  <si>
    <r>
      <t>F</t>
    </r>
    <r>
      <rPr>
        <i/>
        <vertAlign val="subscript"/>
        <sz val="8"/>
        <color theme="1"/>
        <rFont val="Arial CE"/>
        <charset val="238"/>
      </rPr>
      <t>s</t>
    </r>
    <r>
      <rPr>
        <i/>
        <sz val="8"/>
        <color theme="1"/>
        <rFont val="Arial CE"/>
        <family val="2"/>
        <charset val="238"/>
      </rPr>
      <t>.F</t>
    </r>
    <r>
      <rPr>
        <i/>
        <vertAlign val="subscript"/>
        <sz val="8"/>
        <color theme="1"/>
        <rFont val="Arial CE"/>
        <charset val="238"/>
      </rPr>
      <t>c</t>
    </r>
    <r>
      <rPr>
        <i/>
        <sz val="8"/>
        <color theme="1"/>
        <rFont val="Arial CE"/>
        <family val="2"/>
        <charset val="238"/>
      </rPr>
      <t>.F</t>
    </r>
    <r>
      <rPr>
        <i/>
        <vertAlign val="subscript"/>
        <sz val="8"/>
        <color theme="1"/>
        <rFont val="Arial CE"/>
        <charset val="238"/>
      </rPr>
      <t>f</t>
    </r>
    <r>
      <rPr>
        <i/>
        <sz val="8"/>
        <color theme="1"/>
        <rFont val="Arial CE"/>
        <family val="2"/>
        <charset val="238"/>
      </rPr>
      <t xml:space="preserve"> (-)</t>
    </r>
  </si>
  <si>
    <t>Juh - J</t>
  </si>
  <si>
    <t>Sever - S</t>
  </si>
  <si>
    <t>Východ - V</t>
  </si>
  <si>
    <t>Západ - Z</t>
  </si>
  <si>
    <t>Horizontálna rovina - H</t>
  </si>
  <si>
    <t>7. NORMALIZOVANÉ KLIMATICKÉ PODMIENKY A CELKOVÁ TEPELNÁ STRATA:</t>
  </si>
  <si>
    <t>Veličina</t>
  </si>
  <si>
    <t>Mesiac</t>
  </si>
  <si>
    <t>I</t>
  </si>
  <si>
    <t>II</t>
  </si>
  <si>
    <t>III</t>
  </si>
  <si>
    <t>IV</t>
  </si>
  <si>
    <t>X</t>
  </si>
  <si>
    <t>XI</t>
  </si>
  <si>
    <t>XII</t>
  </si>
  <si>
    <t>t (deň)</t>
  </si>
  <si>
    <r>
      <rPr>
        <sz val="8"/>
        <color theme="1"/>
        <rFont val="Symbol"/>
        <family val="1"/>
        <charset val="2"/>
      </rPr>
      <t>q</t>
    </r>
    <r>
      <rPr>
        <vertAlign val="subscript"/>
        <sz val="8"/>
        <color theme="1"/>
        <rFont val="Arial CE"/>
        <charset val="238"/>
      </rPr>
      <t>i</t>
    </r>
    <r>
      <rPr>
        <sz val="8"/>
        <color theme="1"/>
        <rFont val="Arial CE"/>
        <family val="2"/>
        <charset val="238"/>
      </rPr>
      <t xml:space="preserve"> (°C)</t>
    </r>
  </si>
  <si>
    <r>
      <rPr>
        <sz val="8"/>
        <color theme="1"/>
        <rFont val="Symbol"/>
        <family val="1"/>
        <charset val="2"/>
      </rPr>
      <t>q</t>
    </r>
    <r>
      <rPr>
        <vertAlign val="subscript"/>
        <sz val="8"/>
        <color theme="1"/>
        <rFont val="Arial CE"/>
        <charset val="238"/>
      </rPr>
      <t>e</t>
    </r>
    <r>
      <rPr>
        <sz val="8"/>
        <color theme="1"/>
        <rFont val="Arial CE"/>
        <family val="2"/>
        <charset val="238"/>
      </rPr>
      <t xml:space="preserve"> (°C)</t>
    </r>
  </si>
  <si>
    <t>8. VNÚTORNÉ, SOLÁRNE A CELKOVÉ TEPELNÉ ZISKY:</t>
  </si>
  <si>
    <t xml:space="preserve">Vnútorné </t>
  </si>
  <si>
    <t>Solárne</t>
  </si>
  <si>
    <t>Celkové</t>
  </si>
  <si>
    <t>FAKTOR VYUŽITIA TEPELNÝCH ZISKOV:</t>
  </si>
  <si>
    <t>Mesačná metóda</t>
  </si>
  <si>
    <r>
      <t>Q</t>
    </r>
    <r>
      <rPr>
        <vertAlign val="subscript"/>
        <sz val="8"/>
        <color theme="1"/>
        <rFont val="Arial CE"/>
        <charset val="238"/>
      </rPr>
      <t>i</t>
    </r>
    <r>
      <rPr>
        <sz val="8"/>
        <color theme="1"/>
        <rFont val="Arial CE"/>
        <family val="2"/>
        <charset val="238"/>
      </rPr>
      <t xml:space="preserve"> = d .24. q</t>
    </r>
    <r>
      <rPr>
        <vertAlign val="subscript"/>
        <sz val="8"/>
        <color theme="1"/>
        <rFont val="Arial CE"/>
        <charset val="238"/>
      </rPr>
      <t>i</t>
    </r>
    <r>
      <rPr>
        <sz val="8"/>
        <color theme="1"/>
        <rFont val="Arial CE"/>
        <family val="2"/>
        <charset val="238"/>
      </rPr>
      <t xml:space="preserve"> . A</t>
    </r>
    <r>
      <rPr>
        <vertAlign val="subscript"/>
        <sz val="8"/>
        <color theme="1"/>
        <rFont val="Arial CE"/>
        <charset val="238"/>
      </rPr>
      <t>b</t>
    </r>
    <r>
      <rPr>
        <sz val="8"/>
        <color theme="1"/>
        <rFont val="Arial CE"/>
        <family val="2"/>
        <charset val="238"/>
      </rPr>
      <t xml:space="preserve"> /1000  (kWh)</t>
    </r>
  </si>
  <si>
    <r>
      <t>I</t>
    </r>
    <r>
      <rPr>
        <vertAlign val="subscript"/>
        <sz val="8"/>
        <color theme="1"/>
        <rFont val="Arial CE"/>
        <charset val="238"/>
      </rPr>
      <t xml:space="preserve">sj-J  </t>
    </r>
    <r>
      <rPr>
        <sz val="8"/>
        <color theme="1"/>
        <rFont val="Arial CE"/>
        <family val="2"/>
        <charset val="238"/>
      </rPr>
      <t>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</si>
  <si>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sJ</t>
    </r>
    <r>
      <rPr>
        <sz val="8"/>
        <color theme="1"/>
        <rFont val="Arial CE"/>
        <family val="2"/>
        <charset val="238"/>
      </rPr>
      <t xml:space="preserve"> (kWh)</t>
    </r>
  </si>
  <si>
    <r>
      <t>I</t>
    </r>
    <r>
      <rPr>
        <vertAlign val="subscript"/>
        <sz val="8"/>
        <color theme="1"/>
        <rFont val="Arial CE"/>
        <charset val="238"/>
      </rPr>
      <t>sj-S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</si>
  <si>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sS</t>
    </r>
    <r>
      <rPr>
        <sz val="8"/>
        <color theme="1"/>
        <rFont val="Arial CE"/>
        <family val="2"/>
        <charset val="238"/>
      </rPr>
      <t xml:space="preserve"> (kWh)</t>
    </r>
  </si>
  <si>
    <r>
      <t>I</t>
    </r>
    <r>
      <rPr>
        <vertAlign val="subscript"/>
        <sz val="8"/>
        <color theme="1"/>
        <rFont val="Arial CE"/>
        <charset val="238"/>
      </rPr>
      <t>sj-V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</si>
  <si>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sV</t>
    </r>
    <r>
      <rPr>
        <sz val="8"/>
        <color theme="1"/>
        <rFont val="Arial CE"/>
        <family val="2"/>
        <charset val="238"/>
      </rPr>
      <t xml:space="preserve"> (kWh)</t>
    </r>
  </si>
  <si>
    <r>
      <t>I</t>
    </r>
    <r>
      <rPr>
        <vertAlign val="subscript"/>
        <sz val="8"/>
        <color theme="1"/>
        <rFont val="Arial CE"/>
        <charset val="238"/>
      </rPr>
      <t>sj-Z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</si>
  <si>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sZ</t>
    </r>
    <r>
      <rPr>
        <sz val="8"/>
        <color theme="1"/>
        <rFont val="Arial CE"/>
        <family val="2"/>
        <charset val="238"/>
      </rPr>
      <t xml:space="preserve"> (kWh)</t>
    </r>
  </si>
  <si>
    <r>
      <t>I</t>
    </r>
    <r>
      <rPr>
        <vertAlign val="subscript"/>
        <sz val="8"/>
        <color theme="1"/>
        <rFont val="Arial CE"/>
        <charset val="238"/>
      </rPr>
      <t>sj-JV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</si>
  <si>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I</t>
    </r>
    <r>
      <rPr>
        <vertAlign val="subscript"/>
        <sz val="8"/>
        <color theme="1"/>
        <rFont val="Arial CE"/>
        <charset val="238"/>
      </rPr>
      <t>sj-H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</si>
  <si>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sH</t>
    </r>
    <r>
      <rPr>
        <sz val="8"/>
        <color theme="1"/>
        <rFont val="Arial CE"/>
        <family val="2"/>
        <charset val="238"/>
      </rPr>
      <t xml:space="preserve"> (kWh)</t>
    </r>
  </si>
  <si>
    <r>
      <t>SUMA (Q</t>
    </r>
    <r>
      <rPr>
        <vertAlign val="subscript"/>
        <sz val="8"/>
        <color theme="1"/>
        <rFont val="Arial CE"/>
        <charset val="238"/>
      </rPr>
      <t>s</t>
    </r>
    <r>
      <rPr>
        <sz val="8"/>
        <color theme="1"/>
        <rFont val="Arial CE"/>
        <family val="2"/>
        <charset val="238"/>
      </rPr>
      <t>) (kWh)</t>
    </r>
  </si>
  <si>
    <r>
      <t>Q</t>
    </r>
    <r>
      <rPr>
        <b/>
        <vertAlign val="subscript"/>
        <sz val="8"/>
        <color theme="1"/>
        <rFont val="Arial CE"/>
        <charset val="238"/>
      </rPr>
      <t>g</t>
    </r>
    <r>
      <rPr>
        <b/>
        <sz val="8"/>
        <color theme="1"/>
        <rFont val="Arial CE"/>
        <charset val="238"/>
      </rPr>
      <t>=Q</t>
    </r>
    <r>
      <rPr>
        <b/>
        <vertAlign val="subscript"/>
        <sz val="8"/>
        <color theme="1"/>
        <rFont val="Arial CE"/>
        <charset val="238"/>
      </rPr>
      <t>i</t>
    </r>
    <r>
      <rPr>
        <b/>
        <sz val="8"/>
        <color theme="1"/>
        <rFont val="Arial CE"/>
        <charset val="238"/>
      </rPr>
      <t>+Q</t>
    </r>
    <r>
      <rPr>
        <b/>
        <vertAlign val="subscript"/>
        <sz val="8"/>
        <color theme="1"/>
        <rFont val="Arial CE"/>
        <charset val="238"/>
      </rPr>
      <t>s</t>
    </r>
    <r>
      <rPr>
        <b/>
        <sz val="8"/>
        <color theme="1"/>
        <rFont val="Arial CE"/>
        <charset val="238"/>
      </rPr>
      <t xml:space="preserve"> (kWh)</t>
    </r>
  </si>
  <si>
    <t>účinnosť rekuperácie</t>
  </si>
  <si>
    <t>Vnútorná tepelná kapacita</t>
  </si>
  <si>
    <r>
      <t>(J/(K.m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</si>
  <si>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t>(J/K)</t>
  </si>
  <si>
    <r>
      <t>C</t>
    </r>
    <r>
      <rPr>
        <vertAlign val="subscript"/>
        <sz val="8"/>
        <color theme="1"/>
        <rFont val="Arial CE"/>
        <charset val="238"/>
      </rPr>
      <t>m</t>
    </r>
    <r>
      <rPr>
        <sz val="8"/>
        <color theme="1"/>
        <rFont val="Arial CE"/>
        <family val="2"/>
        <charset val="238"/>
      </rPr>
      <t xml:space="preserve"> =  </t>
    </r>
    <r>
      <rPr>
        <sz val="8"/>
        <color theme="1"/>
        <rFont val="Symbol"/>
        <family val="1"/>
        <charset val="2"/>
      </rPr>
      <t>c</t>
    </r>
    <r>
      <rPr>
        <sz val="8"/>
        <color theme="1"/>
        <rFont val="Arial CE"/>
        <family val="2"/>
        <charset val="238"/>
      </rPr>
      <t>*A</t>
    </r>
    <r>
      <rPr>
        <vertAlign val="subscript"/>
        <sz val="8"/>
        <color theme="1"/>
        <rFont val="Arial CE"/>
        <charset val="238"/>
      </rPr>
      <t>b</t>
    </r>
  </si>
  <si>
    <t>c</t>
  </si>
  <si>
    <t>Vstupné údaje pre dynamické veličiny podľa STN EN ISO 13790</t>
  </si>
  <si>
    <t>Veľmi ľahká</t>
  </si>
  <si>
    <t>Ľahká</t>
  </si>
  <si>
    <t>Stredne ťažká</t>
  </si>
  <si>
    <t>Ťažká</t>
  </si>
  <si>
    <t>Veľmi ťažká</t>
  </si>
  <si>
    <t>Trieda budovy</t>
  </si>
  <si>
    <t>Tab. č.3</t>
  </si>
  <si>
    <r>
      <rPr>
        <sz val="8"/>
        <color theme="1"/>
        <rFont val="Symbol"/>
        <family val="1"/>
        <charset val="2"/>
      </rPr>
      <t>h</t>
    </r>
    <r>
      <rPr>
        <vertAlign val="subscript"/>
        <sz val="8"/>
        <color theme="1"/>
        <rFont val="Arial Narrow"/>
        <family val="2"/>
        <charset val="238"/>
      </rPr>
      <t>H,gn</t>
    </r>
    <r>
      <rPr>
        <sz val="8"/>
        <color theme="1"/>
        <rFont val="Arial CE"/>
        <family val="2"/>
        <charset val="238"/>
      </rPr>
      <t>=(1-</t>
    </r>
    <r>
      <rPr>
        <sz val="8"/>
        <color theme="1"/>
        <rFont val="Symbol"/>
        <family val="1"/>
        <charset val="2"/>
      </rPr>
      <t>g</t>
    </r>
    <r>
      <rPr>
        <vertAlign val="superscript"/>
        <sz val="8"/>
        <color theme="1"/>
        <rFont val="Arial CE"/>
        <charset val="238"/>
      </rPr>
      <t>a</t>
    </r>
    <r>
      <rPr>
        <sz val="8"/>
        <color theme="1"/>
        <rFont val="Arial CE"/>
        <family val="2"/>
        <charset val="238"/>
      </rPr>
      <t>)/(1-</t>
    </r>
    <r>
      <rPr>
        <sz val="8"/>
        <color theme="1"/>
        <rFont val="Symbol"/>
        <family val="1"/>
        <charset val="2"/>
      </rPr>
      <t>g</t>
    </r>
    <r>
      <rPr>
        <vertAlign val="superscript"/>
        <sz val="8"/>
        <color theme="1"/>
        <rFont val="Arial CE"/>
        <charset val="238"/>
      </rPr>
      <t>a+1</t>
    </r>
    <r>
      <rPr>
        <sz val="8"/>
        <color theme="1"/>
        <rFont val="Arial CE"/>
        <family val="2"/>
        <charset val="238"/>
      </rPr>
      <t>)</t>
    </r>
  </si>
  <si>
    <r>
      <rPr>
        <sz val="8"/>
        <rFont val="Symbol"/>
        <family val="1"/>
        <charset val="2"/>
      </rPr>
      <t xml:space="preserve"> g</t>
    </r>
    <r>
      <rPr>
        <sz val="8"/>
        <rFont val="Arial CE"/>
        <charset val="238"/>
      </rPr>
      <t>=Q</t>
    </r>
    <r>
      <rPr>
        <vertAlign val="subscript"/>
        <sz val="8"/>
        <rFont val="Arial CE"/>
        <charset val="238"/>
      </rPr>
      <t>g</t>
    </r>
    <r>
      <rPr>
        <sz val="8"/>
        <rFont val="Arial CE"/>
        <charset val="238"/>
      </rPr>
      <t>/Q</t>
    </r>
    <r>
      <rPr>
        <vertAlign val="subscript"/>
        <sz val="8"/>
        <rFont val="Arial CE"/>
        <charset val="238"/>
      </rPr>
      <t>L</t>
    </r>
    <r>
      <rPr>
        <sz val="8"/>
        <rFont val="Arial CE"/>
        <charset val="238"/>
      </rPr>
      <t xml:space="preserve"> (-)</t>
    </r>
  </si>
  <si>
    <r>
      <t>a</t>
    </r>
    <r>
      <rPr>
        <vertAlign val="subscript"/>
        <sz val="8"/>
        <rFont val="Arial CE"/>
        <charset val="238"/>
      </rPr>
      <t>0</t>
    </r>
    <r>
      <rPr>
        <sz val="8"/>
        <rFont val="Arial CE"/>
        <charset val="238"/>
      </rPr>
      <t xml:space="preserve"> (-)</t>
    </r>
  </si>
  <si>
    <r>
      <rPr>
        <sz val="8"/>
        <rFont val="Symbol"/>
        <family val="1"/>
        <charset val="2"/>
      </rPr>
      <t>t</t>
    </r>
    <r>
      <rPr>
        <vertAlign val="subscript"/>
        <sz val="8"/>
        <rFont val="Arial CE"/>
        <charset val="238"/>
      </rPr>
      <t>0</t>
    </r>
    <r>
      <rPr>
        <sz val="8"/>
        <rFont val="Arial CE"/>
        <charset val="238"/>
      </rPr>
      <t xml:space="preserve"> (h) </t>
    </r>
  </si>
  <si>
    <r>
      <t>a=a</t>
    </r>
    <r>
      <rPr>
        <vertAlign val="subscript"/>
        <sz val="8"/>
        <rFont val="Arial CE"/>
        <charset val="238"/>
      </rPr>
      <t>0</t>
    </r>
    <r>
      <rPr>
        <sz val="8"/>
        <rFont val="Arial CE"/>
        <charset val="238"/>
      </rPr>
      <t>+</t>
    </r>
    <r>
      <rPr>
        <sz val="8"/>
        <rFont val="Symbol"/>
        <family val="1"/>
        <charset val="2"/>
      </rPr>
      <t>t</t>
    </r>
    <r>
      <rPr>
        <sz val="8"/>
        <rFont val="Arial CE"/>
        <charset val="238"/>
      </rPr>
      <t>/</t>
    </r>
    <r>
      <rPr>
        <sz val="8"/>
        <rFont val="Symbol"/>
        <family val="1"/>
        <charset val="2"/>
      </rPr>
      <t>t</t>
    </r>
    <r>
      <rPr>
        <vertAlign val="subscript"/>
        <sz val="8"/>
        <rFont val="Arial CE"/>
        <charset val="238"/>
      </rPr>
      <t>0</t>
    </r>
    <r>
      <rPr>
        <sz val="8"/>
        <rFont val="Arial CE"/>
        <charset val="238"/>
      </rPr>
      <t xml:space="preserve"> (-)</t>
    </r>
  </si>
  <si>
    <t>stena medzi vykurovaným a nevykurovaným priestorom a podstrešným priestorom</t>
  </si>
  <si>
    <t>stena a strop do nevykurovaného priestoru (suterénu)</t>
  </si>
  <si>
    <t>stena a strop do temperovaného priestoru (garáž, susedná budova)</t>
  </si>
  <si>
    <t>vonkajšie dvere bez zádveria</t>
  </si>
  <si>
    <t>Cieľová hodnota od 1.1.2021 normalizovaná (požadovaná) / odporúčaná</t>
  </si>
  <si>
    <t>% podiel mernej tepelnej straty prechodom k celkovým tepelným stratám prechodom</t>
  </si>
  <si>
    <t>≤ 0,22 / 0,15</t>
  </si>
  <si>
    <t>≤ 0,85 / 0,65</t>
  </si>
  <si>
    <t>≤ 2,00 / 2,00</t>
  </si>
  <si>
    <t>≤ 0,15 / 0,10</t>
  </si>
  <si>
    <t>≤ 0,20 / 0,15</t>
  </si>
  <si>
    <t>Podľa rozdielu teplôt a tepelného toku vodorovne, zhora nadol, zdola nahor, viď STN 73 3540-2+Z1+Z2: 2019</t>
  </si>
  <si>
    <t>%</t>
  </si>
  <si>
    <t>Cieľová hodnota od 1.1.2021</t>
  </si>
  <si>
    <t>maximálna</t>
  </si>
  <si>
    <t>odporúčaná</t>
  </si>
  <si>
    <r>
      <t>Q</t>
    </r>
    <r>
      <rPr>
        <vertAlign val="subscript"/>
        <sz val="8"/>
        <color theme="1"/>
        <rFont val="Arial CE"/>
        <family val="2"/>
        <charset val="238"/>
      </rPr>
      <t>hnd</t>
    </r>
    <r>
      <rPr>
        <sz val="8"/>
        <color theme="1"/>
        <rFont val="Arial CE"/>
        <family val="2"/>
        <charset val="238"/>
      </rPr>
      <t xml:space="preserve"> &lt; Q</t>
    </r>
    <r>
      <rPr>
        <vertAlign val="subscript"/>
        <sz val="8"/>
        <color theme="1"/>
        <rFont val="Arial CE"/>
        <family val="2"/>
        <charset val="238"/>
      </rPr>
      <t>r3,EP</t>
    </r>
  </si>
  <si>
    <t>STN 73 0540-2 podľa kategórie budov, tabuľka 14, str. 27</t>
  </si>
  <si>
    <t>STN 73 0540-2 podľa faktoru tvaru budovy, tabuľka 9, str. 21</t>
  </si>
  <si>
    <r>
      <t>Q</t>
    </r>
    <r>
      <rPr>
        <b/>
        <vertAlign val="subscript"/>
        <sz val="8"/>
        <color theme="1"/>
        <rFont val="Arial CE"/>
        <family val="2"/>
        <charset val="238"/>
      </rPr>
      <t>r3,EP</t>
    </r>
    <r>
      <rPr>
        <b/>
        <sz val="8"/>
        <color theme="1"/>
        <rFont val="Arial CE"/>
        <family val="2"/>
        <charset val="238"/>
      </rPr>
      <t xml:space="preserve"> (kWh/(m</t>
    </r>
    <r>
      <rPr>
        <b/>
        <vertAlign val="superscript"/>
        <sz val="8"/>
        <color theme="1"/>
        <rFont val="Arial CE"/>
        <family val="2"/>
        <charset val="238"/>
      </rPr>
      <t>2</t>
    </r>
    <r>
      <rPr>
        <b/>
        <sz val="8"/>
        <color theme="1"/>
        <rFont val="Arial CE"/>
        <family val="2"/>
        <charset val="238"/>
      </rPr>
      <t>.a)) =</t>
    </r>
  </si>
  <si>
    <r>
      <t>Q</t>
    </r>
    <r>
      <rPr>
        <b/>
        <vertAlign val="subscript"/>
        <sz val="8"/>
        <color theme="1"/>
        <rFont val="Arial CE"/>
        <family val="2"/>
        <charset val="238"/>
      </rPr>
      <t>H,nd,r3,1</t>
    </r>
    <r>
      <rPr>
        <b/>
        <sz val="8"/>
        <color theme="1"/>
        <rFont val="Arial CE"/>
        <family val="2"/>
        <charset val="238"/>
      </rPr>
      <t xml:space="preserve"> (kWh/(m</t>
    </r>
    <r>
      <rPr>
        <b/>
        <vertAlign val="superscript"/>
        <sz val="8"/>
        <color theme="1"/>
        <rFont val="Arial CE"/>
        <family val="2"/>
        <charset val="238"/>
      </rPr>
      <t>2</t>
    </r>
    <r>
      <rPr>
        <b/>
        <sz val="8"/>
        <color theme="1"/>
        <rFont val="Arial CE"/>
        <family val="2"/>
        <charset val="238"/>
      </rPr>
      <t>.a))=</t>
    </r>
  </si>
  <si>
    <r>
      <t>Q</t>
    </r>
    <r>
      <rPr>
        <b/>
        <vertAlign val="subscript"/>
        <sz val="8"/>
        <color theme="1"/>
        <rFont val="Arial CE"/>
        <family val="2"/>
        <charset val="238"/>
      </rPr>
      <t>H,nd,r3,2</t>
    </r>
    <r>
      <rPr>
        <b/>
        <sz val="8"/>
        <color theme="1"/>
        <rFont val="Arial CE"/>
        <family val="2"/>
        <charset val="238"/>
      </rPr>
      <t xml:space="preserve"> (kWh/(m</t>
    </r>
    <r>
      <rPr>
        <b/>
        <vertAlign val="superscript"/>
        <sz val="8"/>
        <color theme="1"/>
        <rFont val="Arial CE"/>
        <family val="2"/>
        <charset val="238"/>
      </rPr>
      <t>3</t>
    </r>
    <r>
      <rPr>
        <b/>
        <sz val="8"/>
        <color theme="1"/>
        <rFont val="Arial CE"/>
        <family val="2"/>
        <charset val="238"/>
      </rPr>
      <t>.a))=</t>
    </r>
  </si>
  <si>
    <r>
      <t>Q</t>
    </r>
    <r>
      <rPr>
        <b/>
        <i/>
        <vertAlign val="subscript"/>
        <sz val="8"/>
        <color theme="1"/>
        <rFont val="Arial CE"/>
        <family val="2"/>
        <charset val="238"/>
      </rPr>
      <t>Hnd,1</t>
    </r>
    <r>
      <rPr>
        <b/>
        <i/>
        <sz val="8"/>
        <color theme="1"/>
        <rFont val="Arial CE"/>
        <family val="2"/>
        <charset val="238"/>
      </rPr>
      <t xml:space="preserve"> =</t>
    </r>
  </si>
  <si>
    <r>
      <t>Q</t>
    </r>
    <r>
      <rPr>
        <b/>
        <i/>
        <vertAlign val="subscript"/>
        <sz val="8"/>
        <color theme="1"/>
        <rFont val="Arial CE"/>
        <family val="2"/>
        <charset val="238"/>
      </rPr>
      <t>Hnd,2</t>
    </r>
    <r>
      <rPr>
        <b/>
        <i/>
        <sz val="8"/>
        <color theme="1"/>
        <rFont val="Arial CE"/>
        <family val="2"/>
        <charset val="238"/>
      </rPr>
      <t xml:space="preserve"> =</t>
    </r>
  </si>
  <si>
    <r>
      <t>Q</t>
    </r>
    <r>
      <rPr>
        <vertAlign val="subscript"/>
        <sz val="8"/>
        <color theme="1"/>
        <rFont val="Arial CE"/>
        <family val="2"/>
        <charset val="238"/>
      </rPr>
      <t>hnd,1</t>
    </r>
    <r>
      <rPr>
        <sz val="8"/>
        <color theme="1"/>
        <rFont val="Arial CE"/>
        <family val="2"/>
        <charset val="238"/>
      </rPr>
      <t xml:space="preserve"> &lt; Q</t>
    </r>
    <r>
      <rPr>
        <vertAlign val="subscript"/>
        <sz val="8"/>
        <color theme="1"/>
        <rFont val="Arial CE"/>
        <family val="2"/>
        <charset val="238"/>
      </rPr>
      <t>H,nd,r3,1</t>
    </r>
  </si>
  <si>
    <r>
      <t>Q</t>
    </r>
    <r>
      <rPr>
        <vertAlign val="subscript"/>
        <sz val="8"/>
        <color theme="1"/>
        <rFont val="Arial CE"/>
        <family val="2"/>
        <charset val="238"/>
      </rPr>
      <t>hnd,2</t>
    </r>
    <r>
      <rPr>
        <sz val="8"/>
        <color theme="1"/>
        <rFont val="Arial CE"/>
        <family val="2"/>
        <charset val="238"/>
      </rPr>
      <t xml:space="preserve"> &lt; Q</t>
    </r>
    <r>
      <rPr>
        <vertAlign val="subscript"/>
        <sz val="8"/>
        <color theme="1"/>
        <rFont val="Arial CE"/>
        <family val="2"/>
        <charset val="238"/>
      </rPr>
      <t>H,nd,r3,2</t>
    </r>
  </si>
  <si>
    <t>exaktne</t>
  </si>
  <si>
    <t>paušálne</t>
  </si>
  <si>
    <t xml:space="preserve">3. Započítanie vplyvu tepelných mostov: </t>
  </si>
  <si>
    <t>zadá sa hodnota vypočítaná vzťahom</t>
  </si>
  <si>
    <t>za predpokladu spojitej tepelnoizolačnej vrtsvy na vonkajšom povrchu konštrukcie a použitia nových systémov murovaných konštrukcií spĺňajúcich aspoň požiadavky normalizované od 1.1.2016</t>
  </si>
  <si>
    <t>za predpokladu spojitej tepelnoizolačnej vrtsvy na vonkajšom povrchu konštrukcie a použitia nových systémov murovaných konštrukcií najmä po roku 2002</t>
  </si>
  <si>
    <t>pri murovaných, panelových vrstvených betónových a keramických, ľahkých drevených roštových konštrukciach, kovoplastických obvodových plášťoch (pred ich obnovou)</t>
  </si>
  <si>
    <t>pri zateplení na vnútornej strane vonkajšej konštrukcie</t>
  </si>
  <si>
    <t>STN 73 0540-2 hodnoty mernej potreby tepla na vykurovanie podľa kategórie budov, tabuľka 14, str. 27</t>
  </si>
  <si>
    <r>
      <t>STN 73 0540-2 hodnoty priemerného súčiniteľa prechodu tepla U</t>
    </r>
    <r>
      <rPr>
        <vertAlign val="subscript"/>
        <sz val="8"/>
        <color theme="1"/>
        <rFont val="Arial CE"/>
        <charset val="238"/>
      </rPr>
      <t>e,m</t>
    </r>
    <r>
      <rPr>
        <sz val="8"/>
        <color theme="1"/>
        <rFont val="Arial CE"/>
        <family val="2"/>
        <charset val="238"/>
      </rPr>
      <t xml:space="preserve"> (W/(m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.K), tabuľka 3, str. 13</t>
    </r>
  </si>
  <si>
    <r>
      <t>U</t>
    </r>
    <r>
      <rPr>
        <vertAlign val="subscript"/>
        <sz val="8"/>
        <color theme="1"/>
        <rFont val="Arial CE"/>
        <family val="2"/>
        <charset val="238"/>
      </rPr>
      <t>m</t>
    </r>
    <r>
      <rPr>
        <sz val="8"/>
        <color theme="1"/>
        <rFont val="Arial CE"/>
        <family val="2"/>
        <charset val="238"/>
      </rPr>
      <t xml:space="preserve"> &lt; U</t>
    </r>
    <r>
      <rPr>
        <vertAlign val="subscript"/>
        <sz val="8"/>
        <color theme="1"/>
        <rFont val="Arial CE"/>
        <family val="2"/>
        <charset val="238"/>
      </rPr>
      <t>e,m</t>
    </r>
  </si>
  <si>
    <t>14. Hodnotenie - energetické požiadavky na budovy</t>
  </si>
  <si>
    <r>
      <t>Súčiniteľ vnútorných tepelných ziskov podľa kategórie budovy q</t>
    </r>
    <r>
      <rPr>
        <vertAlign val="subscript"/>
        <sz val="8"/>
        <color theme="1"/>
        <rFont val="Arial CE"/>
        <charset val="238"/>
      </rPr>
      <t>i</t>
    </r>
    <r>
      <rPr>
        <sz val="8"/>
        <color theme="1"/>
        <rFont val="Arial CE"/>
        <family val="2"/>
        <charset val="238"/>
      </rPr>
      <t xml:space="preserve"> (W/m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</si>
  <si>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i/>
        <vertAlign val="subscript"/>
        <sz val="8"/>
        <color theme="1"/>
        <rFont val="Arial CE"/>
        <family val="2"/>
        <charset val="238"/>
      </rPr>
      <t>Hnd,1</t>
    </r>
    <r>
      <rPr>
        <i/>
        <sz val="8"/>
        <color theme="1"/>
        <rFont val="Arial CE"/>
        <family val="2"/>
        <charset val="238"/>
      </rPr>
      <t xml:space="preserve"> = Q</t>
    </r>
    <r>
      <rPr>
        <i/>
        <vertAlign val="subscript"/>
        <sz val="8"/>
        <color theme="1"/>
        <rFont val="Arial CE"/>
        <family val="2"/>
        <charset val="238"/>
      </rPr>
      <t>H</t>
    </r>
    <r>
      <rPr>
        <i/>
        <sz val="8"/>
        <color theme="1"/>
        <rFont val="Arial CE"/>
        <family val="2"/>
        <charset val="238"/>
      </rPr>
      <t>/ A</t>
    </r>
    <r>
      <rPr>
        <i/>
        <vertAlign val="subscript"/>
        <sz val="8"/>
        <color theme="1"/>
        <rFont val="Arial CE"/>
        <family val="2"/>
        <charset val="238"/>
      </rPr>
      <t xml:space="preserve">b </t>
    </r>
    <r>
      <rPr>
        <i/>
        <sz val="8"/>
        <color theme="1"/>
        <rFont val="Arial CE"/>
        <charset val="238"/>
      </rPr>
      <t>(kWh/(m</t>
    </r>
    <r>
      <rPr>
        <i/>
        <vertAlign val="superscript"/>
        <sz val="8"/>
        <color theme="1"/>
        <rFont val="Arial CE"/>
        <charset val="238"/>
      </rPr>
      <t>2</t>
    </r>
    <r>
      <rPr>
        <i/>
        <sz val="8"/>
        <color theme="1"/>
        <rFont val="Arial CE"/>
        <charset val="238"/>
      </rPr>
      <t>.a))</t>
    </r>
  </si>
  <si>
    <r>
      <t>Q</t>
    </r>
    <r>
      <rPr>
        <i/>
        <vertAlign val="subscript"/>
        <sz val="8"/>
        <color theme="1"/>
        <rFont val="Arial CE"/>
        <family val="2"/>
        <charset val="238"/>
      </rPr>
      <t>Hnd,2</t>
    </r>
    <r>
      <rPr>
        <i/>
        <sz val="8"/>
        <color theme="1"/>
        <rFont val="Arial CE"/>
        <family val="2"/>
        <charset val="238"/>
      </rPr>
      <t xml:space="preserve"> = Q</t>
    </r>
    <r>
      <rPr>
        <i/>
        <vertAlign val="subscript"/>
        <sz val="8"/>
        <color theme="1"/>
        <rFont val="Arial CE"/>
        <family val="2"/>
        <charset val="238"/>
      </rPr>
      <t>H</t>
    </r>
    <r>
      <rPr>
        <i/>
        <sz val="8"/>
        <color theme="1"/>
        <rFont val="Arial CE"/>
        <family val="2"/>
        <charset val="238"/>
      </rPr>
      <t>/ V</t>
    </r>
    <r>
      <rPr>
        <i/>
        <vertAlign val="subscript"/>
        <sz val="8"/>
        <color theme="1"/>
        <rFont val="Arial CE"/>
        <family val="2"/>
        <charset val="238"/>
      </rPr>
      <t xml:space="preserve">b  </t>
    </r>
    <r>
      <rPr>
        <i/>
        <sz val="8"/>
        <color theme="1"/>
        <rFont val="Arial CE"/>
        <charset val="238"/>
      </rPr>
      <t>(kWh/(m</t>
    </r>
    <r>
      <rPr>
        <i/>
        <vertAlign val="superscript"/>
        <sz val="8"/>
        <color theme="1"/>
        <rFont val="Arial CE"/>
        <charset val="238"/>
      </rPr>
      <t>3</t>
    </r>
    <r>
      <rPr>
        <i/>
        <sz val="8"/>
        <color theme="1"/>
        <rFont val="Arial CE"/>
        <charset val="238"/>
      </rPr>
      <t>.a))</t>
    </r>
  </si>
  <si>
    <r>
      <t>kWh/(m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.a)</t>
    </r>
  </si>
  <si>
    <t>W/(m².K)</t>
  </si>
  <si>
    <r>
      <t>H</t>
    </r>
    <r>
      <rPr>
        <i/>
        <vertAlign val="subscript"/>
        <sz val="8"/>
        <color theme="1"/>
        <rFont val="Arial CE"/>
        <family val="2"/>
        <charset val="238"/>
      </rPr>
      <t>V</t>
    </r>
    <r>
      <rPr>
        <i/>
        <sz val="8"/>
        <color theme="1"/>
        <rFont val="Arial CE"/>
        <family val="2"/>
        <charset val="238"/>
      </rPr>
      <t xml:space="preserve"> = ρ</t>
    </r>
    <r>
      <rPr>
        <i/>
        <vertAlign val="subscript"/>
        <sz val="8"/>
        <color theme="1"/>
        <rFont val="Arial CE"/>
        <family val="2"/>
        <charset val="238"/>
      </rPr>
      <t>a</t>
    </r>
    <r>
      <rPr>
        <i/>
        <sz val="8"/>
        <color theme="1"/>
        <rFont val="Arial CE"/>
        <family val="2"/>
        <charset val="238"/>
      </rPr>
      <t xml:space="preserve"> . C</t>
    </r>
    <r>
      <rPr>
        <i/>
        <vertAlign val="subscript"/>
        <sz val="8"/>
        <color theme="1"/>
        <rFont val="Arial CE"/>
        <family val="2"/>
        <charset val="238"/>
      </rPr>
      <t>a</t>
    </r>
    <r>
      <rPr>
        <i/>
        <sz val="8"/>
        <color theme="1"/>
        <rFont val="Arial CE"/>
        <family val="2"/>
        <charset val="238"/>
      </rPr>
      <t xml:space="preserve"> . n . V / 3600    </t>
    </r>
  </si>
  <si>
    <r>
      <t>9b. Ročná potreba tepla na vykurovanie Q</t>
    </r>
    <r>
      <rPr>
        <b/>
        <vertAlign val="subscript"/>
        <sz val="8"/>
        <color theme="1"/>
        <rFont val="Arial CE"/>
        <charset val="238"/>
      </rPr>
      <t>H</t>
    </r>
    <r>
      <rPr>
        <b/>
        <sz val="8"/>
        <color theme="1"/>
        <rFont val="Arial CE"/>
        <charset val="238"/>
      </rPr>
      <t xml:space="preserve"> (kWh/a) s rekuperáciou</t>
    </r>
  </si>
  <si>
    <r>
      <t>10.b Merná potreba tepla na vykurovanie (kWh/m</t>
    </r>
    <r>
      <rPr>
        <b/>
        <sz val="8"/>
        <color theme="1"/>
        <rFont val="Calibri"/>
        <family val="2"/>
        <charset val="238"/>
      </rPr>
      <t>².a</t>
    </r>
    <r>
      <rPr>
        <b/>
        <sz val="8"/>
        <color theme="1"/>
        <rFont val="Arial CE"/>
        <family val="2"/>
        <charset val="238"/>
      </rPr>
      <t>) vztiahnutá na mernú plochu A</t>
    </r>
    <r>
      <rPr>
        <b/>
        <vertAlign val="subscript"/>
        <sz val="8"/>
        <color theme="1"/>
        <rFont val="Arial CE"/>
        <charset val="238"/>
      </rPr>
      <t xml:space="preserve">b </t>
    </r>
    <r>
      <rPr>
        <b/>
        <sz val="8"/>
        <color theme="1"/>
        <rFont val="Arial CE"/>
        <charset val="238"/>
      </rPr>
      <t>s rekuperáciou</t>
    </r>
  </si>
  <si>
    <r>
      <t>11b. Merná potreba tepla na vykurovanie (kWh/m</t>
    </r>
    <r>
      <rPr>
        <b/>
        <vertAlign val="superscript"/>
        <sz val="8"/>
        <color theme="1"/>
        <rFont val="Arial CE"/>
        <charset val="238"/>
      </rPr>
      <t>3</t>
    </r>
    <r>
      <rPr>
        <b/>
        <sz val="8"/>
        <color theme="1"/>
        <rFont val="Arial CE"/>
        <charset val="238"/>
      </rPr>
      <t>.a) vztiahnutá na obostavaný priestor V</t>
    </r>
    <r>
      <rPr>
        <b/>
        <vertAlign val="subscript"/>
        <sz val="8"/>
        <color theme="1"/>
        <rFont val="Arial CE"/>
        <charset val="238"/>
      </rPr>
      <t>b</t>
    </r>
    <r>
      <rPr>
        <b/>
        <sz val="8"/>
        <color theme="1"/>
        <rFont val="Arial CE"/>
        <charset val="238"/>
      </rPr>
      <t xml:space="preserve"> s rekuperáciou</t>
    </r>
  </si>
  <si>
    <t>strop nad otvoreným prejazdom</t>
  </si>
  <si>
    <t>Hodnotenie</t>
  </si>
  <si>
    <r>
      <rPr>
        <b/>
        <sz val="7"/>
        <rFont val="Arial CE"/>
        <charset val="238"/>
      </rPr>
      <t>U</t>
    </r>
    <r>
      <rPr>
        <b/>
        <vertAlign val="subscript"/>
        <sz val="7"/>
        <rFont val="Arial CE"/>
        <charset val="238"/>
      </rPr>
      <t>w,r2</t>
    </r>
    <r>
      <rPr>
        <sz val="7"/>
        <rFont val="Arial CE"/>
        <family val="2"/>
        <charset val="238"/>
      </rPr>
      <t xml:space="preserve"> (W/(m².K)) / </t>
    </r>
    <r>
      <rPr>
        <b/>
        <sz val="7"/>
        <rFont val="Arial CE"/>
        <charset val="238"/>
      </rPr>
      <t>U</t>
    </r>
    <r>
      <rPr>
        <b/>
        <vertAlign val="subscript"/>
        <sz val="7"/>
        <rFont val="Arial CE"/>
        <charset val="238"/>
      </rPr>
      <t>w,r3</t>
    </r>
    <r>
      <rPr>
        <b/>
        <sz val="7"/>
        <rFont val="Arial CE"/>
        <charset val="238"/>
      </rPr>
      <t xml:space="preserve"> </t>
    </r>
    <r>
      <rPr>
        <sz val="7"/>
        <rFont val="Arial CE"/>
        <family val="2"/>
        <charset val="238"/>
      </rPr>
      <t>(W/(m².K))</t>
    </r>
  </si>
  <si>
    <r>
      <t xml:space="preserve">strecha na teplovýmennom obale budovy, plochá a šikmá strecha so sklonom </t>
    </r>
    <r>
      <rPr>
        <sz val="8"/>
        <rFont val="Calibri"/>
        <family val="2"/>
        <charset val="238"/>
      </rPr>
      <t>≤</t>
    </r>
    <r>
      <rPr>
        <i/>
        <sz val="8"/>
        <rFont val="Arial Narrow"/>
        <family val="2"/>
        <charset val="238"/>
      </rPr>
      <t xml:space="preserve"> 45° </t>
    </r>
  </si>
  <si>
    <r>
      <t>C</t>
    </r>
    <r>
      <rPr>
        <vertAlign val="subscript"/>
        <sz val="8"/>
        <rFont val="Arial CE"/>
        <charset val="238"/>
      </rPr>
      <t>m</t>
    </r>
    <r>
      <rPr>
        <sz val="8"/>
        <rFont val="Arial CE"/>
        <charset val="238"/>
      </rPr>
      <t xml:space="preserve"> (kJ/K)</t>
    </r>
  </si>
  <si>
    <t>(kJ/K)</t>
  </si>
  <si>
    <r>
      <t>C</t>
    </r>
    <r>
      <rPr>
        <b/>
        <vertAlign val="subscript"/>
        <sz val="8"/>
        <color theme="1"/>
        <rFont val="Arial CE"/>
        <charset val="238"/>
      </rPr>
      <t>m</t>
    </r>
    <r>
      <rPr>
        <b/>
        <sz val="8"/>
        <color theme="1"/>
        <rFont val="Arial CE"/>
        <family val="2"/>
        <charset val="238"/>
      </rPr>
      <t xml:space="preserve"> =  </t>
    </r>
    <r>
      <rPr>
        <b/>
        <sz val="8"/>
        <color theme="1"/>
        <rFont val="Symbol"/>
        <family val="1"/>
        <charset val="2"/>
      </rPr>
      <t>c</t>
    </r>
    <r>
      <rPr>
        <b/>
        <sz val="8"/>
        <color theme="1"/>
        <rFont val="Arial CE"/>
        <family val="2"/>
        <charset val="238"/>
      </rPr>
      <t>*A</t>
    </r>
    <r>
      <rPr>
        <b/>
        <vertAlign val="subscript"/>
        <sz val="8"/>
        <color theme="1"/>
        <rFont val="Arial CE"/>
        <charset val="238"/>
      </rPr>
      <t>b</t>
    </r>
    <r>
      <rPr>
        <b/>
        <sz val="8"/>
        <color theme="1"/>
        <rFont val="Arial CE"/>
        <charset val="238"/>
      </rPr>
      <t>/1000</t>
    </r>
  </si>
  <si>
    <r>
      <t xml:space="preserve">časová teplotná konštanta </t>
    </r>
    <r>
      <rPr>
        <sz val="8"/>
        <rFont val="Symbol"/>
        <family val="1"/>
        <charset val="2"/>
      </rPr>
      <t>t</t>
    </r>
    <r>
      <rPr>
        <sz val="8"/>
        <rFont val="Arial CE"/>
        <charset val="238"/>
      </rPr>
      <t>=(C/3,6)/H (h)</t>
    </r>
  </si>
  <si>
    <t>LEGENDA:</t>
  </si>
  <si>
    <t>Položka výpočtu</t>
  </si>
  <si>
    <t>Popis</t>
  </si>
  <si>
    <t>Vyráta sa automaticky</t>
  </si>
  <si>
    <t>Doplň hodnotu</t>
  </si>
  <si>
    <t>pôvodná/obnovená</t>
  </si>
  <si>
    <r>
      <t>Q</t>
    </r>
    <r>
      <rPr>
        <vertAlign val="subscript"/>
        <sz val="8"/>
        <color theme="1"/>
        <rFont val="Arial CE"/>
        <charset val="238"/>
      </rPr>
      <t>L</t>
    </r>
    <r>
      <rPr>
        <sz val="8"/>
        <color theme="1"/>
        <rFont val="Arial CE"/>
        <family val="2"/>
        <charset val="238"/>
      </rPr>
      <t xml:space="preserve"> (kWh)</t>
    </r>
  </si>
  <si>
    <t>Trieda budovy:</t>
  </si>
  <si>
    <t>Výpočet pre normalizované podmienky</t>
  </si>
  <si>
    <t xml:space="preserve">Výpočet pre lokálne podmienky </t>
  </si>
  <si>
    <t>Lokalita:</t>
  </si>
  <si>
    <t>Sklon 30°</t>
  </si>
  <si>
    <t>Sklon 60°</t>
  </si>
  <si>
    <t>days</t>
  </si>
  <si>
    <t>hours</t>
  </si>
  <si>
    <t>horizontal</t>
  </si>
  <si>
    <t>kWh/m2</t>
  </si>
  <si>
    <t>W/m2</t>
  </si>
  <si>
    <t>South</t>
  </si>
  <si>
    <t>North</t>
  </si>
  <si>
    <t xml:space="preserve">East </t>
  </si>
  <si>
    <t>West</t>
  </si>
  <si>
    <t>East</t>
  </si>
  <si>
    <t>oblast 1</t>
  </si>
  <si>
    <t>V</t>
  </si>
  <si>
    <t>VI</t>
  </si>
  <si>
    <t>VII</t>
  </si>
  <si>
    <t>VIII</t>
  </si>
  <si>
    <t>IX</t>
  </si>
  <si>
    <t>Dolny Kubin</t>
  </si>
  <si>
    <t>Banska Bystrica</t>
  </si>
  <si>
    <t>Trebisov</t>
  </si>
  <si>
    <t>Bardejov</t>
  </si>
  <si>
    <t>Presov</t>
  </si>
  <si>
    <t>Bratislava-letisko</t>
  </si>
  <si>
    <t>Košice-letisko</t>
  </si>
  <si>
    <t>Liptovský Mikuláš</t>
  </si>
  <si>
    <t>Oravská Lesná</t>
  </si>
  <si>
    <t>Poprad</t>
  </si>
  <si>
    <t>Rimavská Sobota</t>
  </si>
  <si>
    <t>Trenčian. Biskupice</t>
  </si>
  <si>
    <t>Horizontálna rovina</t>
  </si>
  <si>
    <t>month</t>
  </si>
  <si>
    <t>Intenzita slnečného žiarenia</t>
  </si>
  <si>
    <t>vypočítané pre vybrané klimatologické stanice na Slovensku za obdobie 1951 – 1980 v kWh/m².</t>
  </si>
  <si>
    <t>STN EN ISO 13790/NA: Tabuľka NA.8 – Priemerné mesačné sumy globálneho žiarenia na horizontálnu plochu (0°)</t>
  </si>
  <si>
    <t>kvoc</t>
  </si>
  <si>
    <t>Pri rozdiele nadmorskej výšky lokality umiestnenia budovy a nadmorskej výšky vybranej najbližšej stanice o viac ako 100 m sa uplatní vertikálny gradient poklesu globálneho žiarenia na vodorovnú plochu v teplom polroku (mesiace IV – IX) v % podľa tabuľky NA.9.</t>
  </si>
  <si>
    <t>Sklon 45° (interpolácia)</t>
  </si>
  <si>
    <r>
      <t>Q</t>
    </r>
    <r>
      <rPr>
        <vertAlign val="subscript"/>
        <sz val="8"/>
        <color theme="1"/>
        <rFont val="Arial CE"/>
        <charset val="238"/>
      </rPr>
      <t>sJV</t>
    </r>
    <r>
      <rPr>
        <sz val="8"/>
        <color theme="1"/>
        <rFont val="Arial CE"/>
        <family val="2"/>
        <charset val="238"/>
      </rPr>
      <t xml:space="preserve"> (kWh)</t>
    </r>
  </si>
  <si>
    <r>
      <t>I</t>
    </r>
    <r>
      <rPr>
        <vertAlign val="subscript"/>
        <sz val="8"/>
        <color theme="1"/>
        <rFont val="Arial CE"/>
        <charset val="238"/>
      </rPr>
      <t>sj-JZ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</si>
  <si>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sJZ</t>
    </r>
    <r>
      <rPr>
        <sz val="8"/>
        <color theme="1"/>
        <rFont val="Arial CE"/>
        <family val="2"/>
        <charset val="238"/>
      </rPr>
      <t xml:space="preserve"> (kWh)</t>
    </r>
  </si>
  <si>
    <t>Juhovýchod - JV</t>
  </si>
  <si>
    <t>Juhozápad - JZ</t>
  </si>
  <si>
    <t>Severovýchod - SV</t>
  </si>
  <si>
    <t>Severozápad - SZ</t>
  </si>
  <si>
    <r>
      <t>I</t>
    </r>
    <r>
      <rPr>
        <vertAlign val="subscript"/>
        <sz val="8"/>
        <color theme="1"/>
        <rFont val="Arial CE"/>
        <charset val="238"/>
      </rPr>
      <t>sj-SV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</si>
  <si>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sSV</t>
    </r>
    <r>
      <rPr>
        <sz val="8"/>
        <color theme="1"/>
        <rFont val="Arial CE"/>
        <family val="2"/>
        <charset val="238"/>
      </rPr>
      <t xml:space="preserve"> (kWh)</t>
    </r>
  </si>
  <si>
    <r>
      <t>I</t>
    </r>
    <r>
      <rPr>
        <vertAlign val="subscript"/>
        <sz val="8"/>
        <color theme="1"/>
        <rFont val="Arial CE"/>
        <charset val="238"/>
      </rPr>
      <t>sj-SZ</t>
    </r>
    <r>
      <rPr>
        <sz val="8"/>
        <color theme="1"/>
        <rFont val="Arial CE"/>
        <family val="2"/>
        <charset val="238"/>
      </rPr>
      <t xml:space="preserve"> (kWh/m</t>
    </r>
    <r>
      <rPr>
        <vertAlign val="superscript"/>
        <sz val="8"/>
        <color theme="1"/>
        <rFont val="Arial CE"/>
        <charset val="238"/>
      </rPr>
      <t>2</t>
    </r>
    <r>
      <rPr>
        <sz val="8"/>
        <color theme="1"/>
        <rFont val="Arial CE"/>
        <family val="2"/>
        <charset val="238"/>
      </rPr>
      <t>)</t>
    </r>
  </si>
  <si>
    <r>
      <t>Q</t>
    </r>
    <r>
      <rPr>
        <vertAlign val="subscript"/>
        <sz val="8"/>
        <color theme="1"/>
        <rFont val="Arial CE"/>
        <charset val="238"/>
      </rPr>
      <t>sSZ</t>
    </r>
    <r>
      <rPr>
        <sz val="8"/>
        <color theme="1"/>
        <rFont val="Arial CE"/>
        <family val="2"/>
        <charset val="238"/>
      </rPr>
      <t xml:space="preserve"> (kWh)</t>
    </r>
  </si>
  <si>
    <t>pre teplotné oblasti I, II, III podľa rajonizácie na obr. NA.1 až NA.12</t>
  </si>
  <si>
    <t>STN EN ISO 13790/NA: Tabuľka NA.1 – Regresné vzťahy pre mesačný priemer vonkajšej teploty</t>
  </si>
  <si>
    <t>Mesačný priemer vonkajšej teploty</t>
  </si>
  <si>
    <t>Mesto</t>
  </si>
  <si>
    <t>Oblasť</t>
  </si>
  <si>
    <t>Topolcany</t>
  </si>
  <si>
    <t>Piestany</t>
  </si>
  <si>
    <t>Zilina</t>
  </si>
  <si>
    <t>Nitra</t>
  </si>
  <si>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e (°C)</t>
    </r>
  </si>
  <si>
    <t>Senica</t>
  </si>
  <si>
    <t>Nad. v. (m.n.m.)</t>
  </si>
  <si>
    <t>Trenč. Biskupice</t>
  </si>
  <si>
    <t>Zmena počtu vykurovacích dní po obnove sa v tomto prípade zanedbala</t>
  </si>
  <si>
    <t>Vykurovanie v máji až septembri sa v tomto prípade zanedbalo. Počet vykurovacích dní sa líši v závislosti od lokality a budovy</t>
  </si>
  <si>
    <t>VSTUPNÉ ÚDAJE:</t>
  </si>
  <si>
    <t>Merná plocha</t>
  </si>
  <si>
    <r>
      <t>m</t>
    </r>
    <r>
      <rPr>
        <sz val="11"/>
        <color theme="1"/>
        <rFont val="Aptos Narrow"/>
        <family val="2"/>
      </rPr>
      <t>²</t>
    </r>
  </si>
  <si>
    <r>
      <t>m</t>
    </r>
    <r>
      <rPr>
        <sz val="11"/>
        <color theme="1"/>
        <rFont val="Aptos Narrow"/>
        <family val="2"/>
      </rPr>
      <t>³</t>
    </r>
  </si>
  <si>
    <t>Lokalita</t>
  </si>
  <si>
    <t>MJ.</t>
  </si>
  <si>
    <t>-</t>
  </si>
  <si>
    <t>oblasť 1</t>
  </si>
  <si>
    <t>Vykurovaný objem</t>
  </si>
  <si>
    <t>oblast 2</t>
  </si>
  <si>
    <t xml:space="preserve">Topolcany </t>
  </si>
  <si>
    <t xml:space="preserve">Piestany </t>
  </si>
  <si>
    <t xml:space="preserve">Zilina </t>
  </si>
  <si>
    <t>oblast 3</t>
  </si>
  <si>
    <t>vonkajšia stena</t>
  </si>
  <si>
    <t xml:space="preserve">vonkajšie okná v obvodovej stene  (vrátane balkónových, terasových dverí a franúzkych okie) </t>
  </si>
  <si>
    <t xml:space="preserve">vonkajšie okná v obvodovej stene (vrátane balkónových, terasových dverí a franúzkych okie) </t>
  </si>
  <si>
    <t>Typ budovy</t>
  </si>
  <si>
    <t>cieľová</t>
  </si>
  <si>
    <r>
      <t>U</t>
    </r>
    <r>
      <rPr>
        <b/>
        <sz val="6"/>
        <color theme="1"/>
        <rFont val="Arial CE"/>
        <charset val="238"/>
      </rPr>
      <t>e,m</t>
    </r>
    <r>
      <rPr>
        <b/>
        <sz val="8"/>
        <color theme="1"/>
        <rFont val="Arial CE"/>
        <family val="2"/>
        <charset val="238"/>
      </rPr>
      <t xml:space="preserve"> ((W/m</t>
    </r>
    <r>
      <rPr>
        <b/>
        <sz val="8"/>
        <color theme="1"/>
        <rFont val="Aptos Narrow"/>
        <family val="2"/>
      </rPr>
      <t>²</t>
    </r>
    <r>
      <rPr>
        <b/>
        <sz val="8"/>
        <color theme="1"/>
        <rFont val="Arial CE"/>
        <family val="2"/>
        <charset val="238"/>
      </rPr>
      <t>.K))</t>
    </r>
  </si>
  <si>
    <t>Sklon 90°</t>
  </si>
  <si>
    <t>PRIDANÉ</t>
  </si>
  <si>
    <t>STN 73 0540-2 hodnoty mernej potreby tepla na vykurovanie podľa faktoru tvaru budovy, tabuľka 9, str.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</si>
</sst>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0"/>
    <numFmt numFmtId="166" formatCode="0.0"/>
  </numFmts>
  <fonts count="7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8"/>
      <color theme="1"/>
      <name val="Arial CE"/>
      <family val="2"/>
      <charset val="238"/>
    </font>
    <font>
      <sz val="8"/>
      <color theme="1"/>
      <name val="Arial CE"/>
      <family val="2"/>
      <charset val="238"/>
    </font>
    <font>
      <i/>
      <sz val="8"/>
      <color theme="1"/>
      <name val="Arial CE"/>
      <family val="2"/>
      <charset val="238"/>
    </font>
    <font>
      <i/>
      <vertAlign val="subscript"/>
      <sz val="8"/>
      <color theme="1"/>
      <name val="Arial CE"/>
      <family val="2"/>
      <charset val="238"/>
    </font>
    <font>
      <sz val="7"/>
      <color theme="1"/>
      <name val="Arial CE"/>
      <family val="2"/>
      <charset val="238"/>
    </font>
    <font>
      <b/>
      <sz val="7"/>
      <color theme="1"/>
      <name val="Arial CE"/>
      <family val="2"/>
      <charset val="238"/>
    </font>
    <font>
      <b/>
      <vertAlign val="subscript"/>
      <sz val="7"/>
      <color theme="1"/>
      <name val="Arial CE"/>
      <family val="2"/>
      <charset val="238"/>
    </font>
    <font>
      <i/>
      <sz val="8"/>
      <color theme="1"/>
      <name val="Arial Narrow"/>
      <family val="2"/>
      <charset val="238"/>
    </font>
    <font>
      <sz val="8"/>
      <color theme="1"/>
      <name val="Arial Narrow"/>
      <family val="2"/>
      <charset val="238"/>
    </font>
    <font>
      <b/>
      <i/>
      <sz val="8"/>
      <color theme="1"/>
      <name val="Arial Narrow"/>
      <family val="2"/>
      <charset val="238"/>
    </font>
    <font>
      <b/>
      <sz val="8"/>
      <color theme="1"/>
      <name val="Arial Narrow"/>
      <family val="2"/>
      <charset val="238"/>
    </font>
    <font>
      <b/>
      <vertAlign val="subscript"/>
      <sz val="8"/>
      <color theme="1"/>
      <name val="Arial Narrow"/>
      <family val="2"/>
      <charset val="238"/>
    </font>
    <font>
      <b/>
      <i/>
      <sz val="8"/>
      <color theme="1"/>
      <name val="Arial CE"/>
      <family val="2"/>
      <charset val="238"/>
    </font>
    <font>
      <b/>
      <i/>
      <vertAlign val="subscript"/>
      <sz val="8"/>
      <color theme="1"/>
      <name val="Arial CE"/>
      <family val="2"/>
      <charset val="238"/>
    </font>
    <font>
      <b/>
      <vertAlign val="subscript"/>
      <sz val="8"/>
      <color theme="1"/>
      <name val="Arial CE"/>
      <family val="2"/>
      <charset val="238"/>
    </font>
    <font>
      <b/>
      <sz val="8"/>
      <color theme="1"/>
      <name val="Calibri"/>
      <family val="2"/>
      <charset val="238"/>
    </font>
    <font>
      <sz val="8"/>
      <color rgb="FFFF0000"/>
      <name val="Arial CE"/>
      <family val="2"/>
      <charset val="238"/>
    </font>
    <font>
      <vertAlign val="subscript"/>
      <sz val="8"/>
      <color theme="1"/>
      <name val="Arial CE"/>
      <family val="2"/>
      <charset val="238"/>
    </font>
    <font>
      <sz val="8"/>
      <color theme="1"/>
      <name val="Symbol"/>
      <family val="1"/>
      <charset val="2"/>
    </font>
    <font>
      <i/>
      <sz val="8"/>
      <color theme="1"/>
      <name val="Arial CE"/>
      <charset val="238"/>
    </font>
    <font>
      <i/>
      <vertAlign val="superscript"/>
      <sz val="8"/>
      <color theme="1"/>
      <name val="Arial CE"/>
      <charset val="238"/>
    </font>
    <font>
      <i/>
      <vertAlign val="subscript"/>
      <sz val="8"/>
      <color theme="1"/>
      <name val="Arial CE"/>
      <charset val="238"/>
    </font>
    <font>
      <b/>
      <sz val="8"/>
      <color theme="1"/>
      <name val="Arial CE"/>
      <charset val="238"/>
    </font>
    <font>
      <vertAlign val="subscript"/>
      <sz val="8"/>
      <color theme="1"/>
      <name val="Arial CE"/>
      <charset val="238"/>
    </font>
    <font>
      <b/>
      <sz val="8"/>
      <color rgb="FFFF0000"/>
      <name val="Arial CE"/>
      <charset val="238"/>
    </font>
    <font>
      <vertAlign val="superscript"/>
      <sz val="8"/>
      <color theme="1"/>
      <name val="Arial CE"/>
      <charset val="238"/>
    </font>
    <font>
      <b/>
      <vertAlign val="subscript"/>
      <sz val="8"/>
      <color theme="1"/>
      <name val="Arial CE"/>
      <charset val="238"/>
    </font>
    <font>
      <b/>
      <sz val="8"/>
      <color theme="1"/>
      <name val="Symbol"/>
      <family val="1"/>
      <charset val="2"/>
    </font>
    <font>
      <sz val="11"/>
      <color theme="1"/>
      <name val="Arial CE"/>
      <family val="2"/>
      <charset val="238"/>
    </font>
    <font>
      <vertAlign val="subscript"/>
      <sz val="8"/>
      <color theme="1"/>
      <name val="Arial Narrow"/>
      <family val="2"/>
      <charset val="238"/>
    </font>
    <font>
      <sz val="8"/>
      <name val="Arial CE"/>
      <charset val="238"/>
    </font>
    <font>
      <sz val="8"/>
      <name val="Symbol"/>
      <family val="1"/>
      <charset val="2"/>
    </font>
    <font>
      <vertAlign val="subscript"/>
      <sz val="8"/>
      <name val="Arial CE"/>
      <charset val="238"/>
    </font>
    <font>
      <b/>
      <sz val="8"/>
      <name val="Arial CE"/>
      <charset val="238"/>
    </font>
    <font>
      <b/>
      <vertAlign val="superscript"/>
      <sz val="8"/>
      <color theme="1"/>
      <name val="Arial CE"/>
      <family val="2"/>
      <charset val="238"/>
    </font>
    <font>
      <b/>
      <sz val="12"/>
      <color rgb="FFFF0000"/>
      <name val="Arial CE"/>
      <charset val="238"/>
    </font>
    <font>
      <sz val="8"/>
      <color theme="1"/>
      <name val="Arial CE"/>
      <charset val="238"/>
    </font>
    <font>
      <b/>
      <vertAlign val="superscript"/>
      <sz val="8"/>
      <color theme="1"/>
      <name val="Arial CE"/>
      <charset val="238"/>
    </font>
    <font>
      <sz val="8"/>
      <name val="Calibri"/>
      <family val="2"/>
      <charset val="238"/>
      <scheme val="minor"/>
    </font>
    <font>
      <sz val="7"/>
      <name val="Arial CE"/>
      <charset val="238"/>
    </font>
    <font>
      <b/>
      <sz val="7"/>
      <name val="Arial CE"/>
      <charset val="238"/>
    </font>
    <font>
      <b/>
      <vertAlign val="subscript"/>
      <sz val="7"/>
      <name val="Arial CE"/>
      <charset val="238"/>
    </font>
    <font>
      <sz val="7"/>
      <name val="Arial CE"/>
      <family val="2"/>
      <charset val="238"/>
    </font>
    <font>
      <b/>
      <sz val="8"/>
      <name val="Arial Narrow"/>
      <family val="2"/>
      <charset val="238"/>
    </font>
    <font>
      <i/>
      <sz val="8"/>
      <name val="Arial Narrow"/>
      <family val="2"/>
      <charset val="238"/>
    </font>
    <font>
      <sz val="8"/>
      <name val="Calibri"/>
      <family val="2"/>
      <charset val="238"/>
    </font>
    <font>
      <b/>
      <i/>
      <sz val="8"/>
      <name val="Arial CE"/>
      <charset val="238"/>
    </font>
    <font>
      <sz val="12"/>
      <name val="Arial Black"/>
      <family val="2"/>
      <charset val="238"/>
    </font>
    <font>
      <b/>
      <sz val="12"/>
      <name val="Calibri"/>
      <family val="2"/>
      <charset val="238"/>
      <scheme val="minor"/>
    </font>
    <font>
      <b/>
      <sz val="8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</font>
    <font>
      <sz val="16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b/>
      <sz val="6"/>
      <color theme="1"/>
      <name val="Arial CE"/>
      <charset val="238"/>
    </font>
    <font>
      <b/>
      <sz val="8"/>
      <color theme="1"/>
      <name val="Aptos Narrow"/>
      <family val="2"/>
    </font>
    <font>
      <b/>
      <sz val="12"/>
      <color rgb="FFFF0000"/>
      <name val="Arial"/>
      <family val="2"/>
      <charset val="238"/>
    </font>
    <font>
      <sz val="8"/>
      <name val="Arial CE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5" fillId="0" borderId="0"/>
  </cellStyleXfs>
  <cellXfs count="320">
    <xf numFmtId="0" fontId="0" fillId="0" borderId="0" xfId="0"/>
    <xf numFmtId="2" fontId="4" fillId="0" borderId="11" xfId="0" applyNumberFormat="1" applyFont="1" applyBorder="1" applyAlignment="1">
      <alignment vertical="center"/>
    </xf>
    <xf numFmtId="2" fontId="4" fillId="0" borderId="1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vertical="center"/>
    </xf>
    <xf numFmtId="2" fontId="4" fillId="0" borderId="11" xfId="0" applyNumberFormat="1" applyFont="1" applyBorder="1" applyAlignment="1">
      <alignment horizontal="left" vertical="center"/>
    </xf>
    <xf numFmtId="2" fontId="4" fillId="0" borderId="9" xfId="0" applyNumberFormat="1" applyFont="1" applyBorder="1" applyAlignment="1">
      <alignment vertical="center"/>
    </xf>
    <xf numFmtId="2" fontId="5" fillId="0" borderId="4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4" fillId="0" borderId="22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9" xfId="0" applyNumberFormat="1" applyFont="1" applyBorder="1" applyAlignment="1">
      <alignment vertical="center"/>
    </xf>
    <xf numFmtId="165" fontId="4" fillId="0" borderId="19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165" fontId="4" fillId="0" borderId="20" xfId="0" applyNumberFormat="1" applyFont="1" applyBorder="1" applyAlignment="1">
      <alignment horizontal="right" vertical="center"/>
    </xf>
    <xf numFmtId="165" fontId="25" fillId="0" borderId="2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right" vertical="center"/>
    </xf>
    <xf numFmtId="165" fontId="25" fillId="0" borderId="2" xfId="0" applyNumberFormat="1" applyFont="1" applyBorder="1" applyAlignment="1">
      <alignment horizontal="right" vertical="center"/>
    </xf>
    <xf numFmtId="165" fontId="4" fillId="0" borderId="16" xfId="0" applyNumberFormat="1" applyFont="1" applyBorder="1" applyAlignment="1">
      <alignment horizontal="center" vertical="center"/>
    </xf>
    <xf numFmtId="165" fontId="19" fillId="0" borderId="2" xfId="0" applyNumberFormat="1" applyFont="1" applyBorder="1" applyAlignment="1">
      <alignment horizontal="center" vertical="center"/>
    </xf>
    <xf numFmtId="165" fontId="25" fillId="0" borderId="17" xfId="0" applyNumberFormat="1" applyFont="1" applyBorder="1" applyAlignment="1">
      <alignment horizontal="center" vertical="center"/>
    </xf>
    <xf numFmtId="165" fontId="19" fillId="0" borderId="17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right" vertical="center"/>
    </xf>
    <xf numFmtId="165" fontId="5" fillId="0" borderId="18" xfId="0" applyNumberFormat="1" applyFont="1" applyBorder="1" applyAlignment="1">
      <alignment horizontal="right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2" fontId="4" fillId="0" borderId="20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vertical="center"/>
    </xf>
    <xf numFmtId="165" fontId="3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center" vertical="center"/>
    </xf>
    <xf numFmtId="165" fontId="3" fillId="0" borderId="13" xfId="0" applyNumberFormat="1" applyFont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165" fontId="15" fillId="0" borderId="2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2" fontId="4" fillId="0" borderId="23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24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165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165" fontId="46" fillId="0" borderId="2" xfId="0" applyNumberFormat="1" applyFont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vertical="center"/>
    </xf>
    <xf numFmtId="2" fontId="4" fillId="3" borderId="22" xfId="0" applyNumberFormat="1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horizontal="center" vertical="center"/>
    </xf>
    <xf numFmtId="165" fontId="21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51" fillId="0" borderId="0" xfId="0" applyNumberFormat="1" applyFon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2" fontId="3" fillId="7" borderId="34" xfId="0" applyNumberFormat="1" applyFont="1" applyFill="1" applyBorder="1" applyAlignment="1">
      <alignment vertical="center"/>
    </xf>
    <xf numFmtId="165" fontId="11" fillId="5" borderId="2" xfId="0" applyNumberFormat="1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165" fontId="11" fillId="6" borderId="21" xfId="0" applyNumberFormat="1" applyFont="1" applyFill="1" applyBorder="1" applyAlignment="1">
      <alignment horizontal="center" vertical="center"/>
    </xf>
    <xf numFmtId="165" fontId="52" fillId="0" borderId="2" xfId="0" applyNumberFormat="1" applyFont="1" applyBorder="1" applyAlignment="1">
      <alignment horizontal="center" vertical="center"/>
    </xf>
    <xf numFmtId="2" fontId="13" fillId="8" borderId="33" xfId="0" applyNumberFormat="1" applyFont="1" applyFill="1" applyBorder="1" applyAlignment="1">
      <alignment horizontal="center" vertical="center"/>
    </xf>
    <xf numFmtId="2" fontId="13" fillId="0" borderId="21" xfId="0" applyNumberFormat="1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5" borderId="34" xfId="0" applyNumberFormat="1" applyFont="1" applyFill="1" applyBorder="1" applyAlignment="1">
      <alignment vertical="center" wrapText="1"/>
    </xf>
    <xf numFmtId="2" fontId="3" fillId="0" borderId="10" xfId="0" applyNumberFormat="1" applyFont="1" applyBorder="1" applyAlignment="1">
      <alignment vertical="center"/>
    </xf>
    <xf numFmtId="2" fontId="4" fillId="6" borderId="6" xfId="0" applyNumberFormat="1" applyFont="1" applyFill="1" applyBorder="1" applyAlignment="1">
      <alignment horizontal="center" vertical="center"/>
    </xf>
    <xf numFmtId="2" fontId="4" fillId="6" borderId="21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165" fontId="4" fillId="0" borderId="7" xfId="0" applyNumberFormat="1" applyFont="1" applyBorder="1" applyAlignment="1">
      <alignment vertical="center"/>
    </xf>
    <xf numFmtId="165" fontId="4" fillId="0" borderId="37" xfId="0" applyNumberFormat="1" applyFont="1" applyBorder="1" applyAlignment="1">
      <alignment vertical="center"/>
    </xf>
    <xf numFmtId="165" fontId="25" fillId="6" borderId="2" xfId="0" applyNumberFormat="1" applyFont="1" applyFill="1" applyBorder="1" applyAlignment="1">
      <alignment horizontal="center" vertical="center"/>
    </xf>
    <xf numFmtId="165" fontId="25" fillId="6" borderId="17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4" fillId="6" borderId="17" xfId="0" applyNumberFormat="1" applyFont="1" applyFill="1" applyBorder="1" applyAlignment="1">
      <alignment horizontal="center" vertical="center"/>
    </xf>
    <xf numFmtId="165" fontId="4" fillId="5" borderId="17" xfId="0" applyNumberFormat="1" applyFont="1" applyFill="1" applyBorder="1" applyAlignment="1">
      <alignment horizontal="center" vertical="center"/>
    </xf>
    <xf numFmtId="165" fontId="25" fillId="8" borderId="0" xfId="0" applyNumberFormat="1" applyFont="1" applyFill="1" applyAlignment="1">
      <alignment vertical="center"/>
    </xf>
    <xf numFmtId="165" fontId="36" fillId="6" borderId="2" xfId="0" applyNumberFormat="1" applyFont="1" applyFill="1" applyBorder="1" applyAlignment="1">
      <alignment horizontal="center" vertical="center"/>
    </xf>
    <xf numFmtId="165" fontId="4" fillId="7" borderId="20" xfId="0" applyNumberFormat="1" applyFont="1" applyFill="1" applyBorder="1" applyAlignment="1">
      <alignment horizontal="center" vertical="center"/>
    </xf>
    <xf numFmtId="165" fontId="4" fillId="7" borderId="22" xfId="0" applyNumberFormat="1" applyFont="1" applyFill="1" applyBorder="1" applyAlignment="1">
      <alignment vertical="center"/>
    </xf>
    <xf numFmtId="165" fontId="4" fillId="5" borderId="21" xfId="0" applyNumberFormat="1" applyFont="1" applyFill="1" applyBorder="1" applyAlignment="1">
      <alignment horizontal="left" vertical="center"/>
    </xf>
    <xf numFmtId="2" fontId="4" fillId="5" borderId="11" xfId="0" applyNumberFormat="1" applyFont="1" applyFill="1" applyBorder="1" applyAlignment="1">
      <alignment vertical="center"/>
    </xf>
    <xf numFmtId="2" fontId="4" fillId="5" borderId="4" xfId="0" applyNumberFormat="1" applyFont="1" applyFill="1" applyBorder="1" applyAlignment="1">
      <alignment horizontal="center" vertical="center"/>
    </xf>
    <xf numFmtId="165" fontId="33" fillId="0" borderId="30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/>
    </xf>
    <xf numFmtId="165" fontId="42" fillId="0" borderId="2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left" vertical="center"/>
    </xf>
    <xf numFmtId="2" fontId="4" fillId="5" borderId="23" xfId="0" applyNumberFormat="1" applyFont="1" applyFill="1" applyBorder="1" applyAlignment="1">
      <alignment vertical="center"/>
    </xf>
    <xf numFmtId="165" fontId="4" fillId="0" borderId="21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vertical="center"/>
    </xf>
    <xf numFmtId="165" fontId="25" fillId="0" borderId="15" xfId="0" applyNumberFormat="1" applyFont="1" applyBorder="1" applyAlignment="1">
      <alignment vertical="center"/>
    </xf>
    <xf numFmtId="165" fontId="25" fillId="0" borderId="19" xfId="0" applyNumberFormat="1" applyFont="1" applyBorder="1" applyAlignment="1">
      <alignment vertical="center"/>
    </xf>
    <xf numFmtId="165" fontId="27" fillId="0" borderId="20" xfId="0" applyNumberFormat="1" applyFont="1" applyBorder="1" applyAlignment="1">
      <alignment horizontal="right" vertical="center"/>
    </xf>
    <xf numFmtId="165" fontId="4" fillId="0" borderId="22" xfId="0" applyNumberFormat="1" applyFont="1" applyBorder="1" applyAlignment="1">
      <alignment horizontal="center" vertical="center"/>
    </xf>
    <xf numFmtId="0" fontId="53" fillId="0" borderId="0" xfId="0" applyFont="1"/>
    <xf numFmtId="0" fontId="0" fillId="0" borderId="2" xfId="0" applyBorder="1"/>
    <xf numFmtId="165" fontId="33" fillId="0" borderId="18" xfId="0" applyNumberFormat="1" applyFont="1" applyBorder="1" applyAlignment="1">
      <alignment horizontal="right" vertical="center"/>
    </xf>
    <xf numFmtId="165" fontId="4" fillId="5" borderId="2" xfId="0" applyNumberFormat="1" applyFont="1" applyFill="1" applyBorder="1" applyAlignment="1">
      <alignment vertical="center"/>
    </xf>
    <xf numFmtId="2" fontId="25" fillId="0" borderId="11" xfId="0" applyNumberFormat="1" applyFont="1" applyBorder="1" applyAlignment="1">
      <alignment horizontal="right" vertical="center"/>
    </xf>
    <xf numFmtId="0" fontId="56" fillId="0" borderId="0" xfId="2" applyFont="1"/>
    <xf numFmtId="0" fontId="55" fillId="0" borderId="0" xfId="2"/>
    <xf numFmtId="0" fontId="55" fillId="0" borderId="0" xfId="2" applyAlignment="1">
      <alignment horizontal="center"/>
    </xf>
    <xf numFmtId="0" fontId="57" fillId="0" borderId="0" xfId="2" applyFont="1"/>
    <xf numFmtId="0" fontId="57" fillId="0" borderId="0" xfId="2" applyFont="1" applyAlignment="1">
      <alignment horizontal="center"/>
    </xf>
    <xf numFmtId="0" fontId="0" fillId="0" borderId="46" xfId="0" applyBorder="1" applyAlignment="1">
      <alignment horizontal="center"/>
    </xf>
    <xf numFmtId="166" fontId="55" fillId="0" borderId="0" xfId="2" applyNumberFormat="1" applyAlignment="1">
      <alignment horizontal="center"/>
    </xf>
    <xf numFmtId="166" fontId="55" fillId="0" borderId="0" xfId="2" applyNumberFormat="1"/>
    <xf numFmtId="0" fontId="55" fillId="0" borderId="2" xfId="2" applyBorder="1" applyAlignment="1">
      <alignment horizontal="center"/>
    </xf>
    <xf numFmtId="166" fontId="57" fillId="0" borderId="2" xfId="2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7" xfId="0" applyBorder="1" applyAlignment="1">
      <alignment horizontal="center"/>
    </xf>
    <xf numFmtId="0" fontId="58" fillId="0" borderId="0" xfId="2" applyFont="1" applyAlignment="1">
      <alignment horizontal="center"/>
    </xf>
    <xf numFmtId="0" fontId="61" fillId="0" borderId="0" xfId="2" applyFont="1"/>
    <xf numFmtId="0" fontId="62" fillId="0" borderId="0" xfId="2" applyFont="1"/>
    <xf numFmtId="0" fontId="62" fillId="0" borderId="0" xfId="2" applyFont="1" applyAlignment="1">
      <alignment horizontal="center"/>
    </xf>
    <xf numFmtId="0" fontId="60" fillId="5" borderId="0" xfId="2" applyFont="1" applyFill="1"/>
    <xf numFmtId="0" fontId="59" fillId="5" borderId="0" xfId="2" applyFont="1" applyFill="1"/>
    <xf numFmtId="0" fontId="59" fillId="5" borderId="0" xfId="2" applyFont="1" applyFill="1" applyAlignment="1">
      <alignment horizontal="center"/>
    </xf>
    <xf numFmtId="0" fontId="55" fillId="5" borderId="0" xfId="2" applyFill="1"/>
    <xf numFmtId="0" fontId="56" fillId="5" borderId="0" xfId="2" applyFont="1" applyFill="1"/>
    <xf numFmtId="0" fontId="55" fillId="0" borderId="2" xfId="2" applyBorder="1"/>
    <xf numFmtId="0" fontId="63" fillId="0" borderId="0" xfId="2" applyFont="1" applyAlignment="1">
      <alignment vertical="center" wrapText="1"/>
    </xf>
    <xf numFmtId="166" fontId="58" fillId="0" borderId="2" xfId="2" applyNumberFormat="1" applyFont="1" applyBorder="1" applyAlignment="1">
      <alignment horizontal="center"/>
    </xf>
    <xf numFmtId="165" fontId="4" fillId="6" borderId="21" xfId="0" applyNumberFormat="1" applyFont="1" applyFill="1" applyBorder="1" applyAlignment="1">
      <alignment horizontal="center" vertical="center"/>
    </xf>
    <xf numFmtId="165" fontId="4" fillId="5" borderId="21" xfId="0" applyNumberFormat="1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vertical="center"/>
    </xf>
    <xf numFmtId="165" fontId="25" fillId="6" borderId="21" xfId="0" applyNumberFormat="1" applyFont="1" applyFill="1" applyBorder="1" applyAlignment="1">
      <alignment horizontal="center" vertical="center"/>
    </xf>
    <xf numFmtId="165" fontId="25" fillId="8" borderId="8" xfId="0" applyNumberFormat="1" applyFont="1" applyFill="1" applyBorder="1" applyAlignment="1">
      <alignment vertical="center"/>
    </xf>
    <xf numFmtId="165" fontId="36" fillId="6" borderId="21" xfId="0" applyNumberFormat="1" applyFont="1" applyFill="1" applyBorder="1" applyAlignment="1">
      <alignment horizontal="center" vertical="center"/>
    </xf>
    <xf numFmtId="165" fontId="4" fillId="0" borderId="48" xfId="0" applyNumberFormat="1" applyFont="1" applyBorder="1" applyAlignment="1">
      <alignment horizontal="center" vertical="center"/>
    </xf>
    <xf numFmtId="165" fontId="39" fillId="0" borderId="48" xfId="0" applyNumberFormat="1" applyFont="1" applyBorder="1" applyAlignment="1">
      <alignment horizontal="center" vertical="center"/>
    </xf>
    <xf numFmtId="165" fontId="33" fillId="0" borderId="36" xfId="0" applyNumberFormat="1" applyFont="1" applyBorder="1" applyAlignment="1">
      <alignment horizontal="center" vertical="center" wrapText="1"/>
    </xf>
    <xf numFmtId="10" fontId="4" fillId="6" borderId="17" xfId="0" applyNumberFormat="1" applyFont="1" applyFill="1" applyBorder="1" applyAlignment="1">
      <alignment horizontal="center" vertical="center"/>
    </xf>
    <xf numFmtId="10" fontId="4" fillId="8" borderId="22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54" fillId="0" borderId="0" xfId="0" applyFont="1" applyAlignment="1">
      <alignment horizontal="center"/>
    </xf>
    <xf numFmtId="0" fontId="54" fillId="5" borderId="0" xfId="0" applyFont="1" applyFill="1" applyAlignment="1">
      <alignment horizontal="center"/>
    </xf>
    <xf numFmtId="0" fontId="54" fillId="5" borderId="0" xfId="0" applyFont="1" applyFill="1"/>
    <xf numFmtId="0" fontId="54" fillId="5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55" fillId="0" borderId="0" xfId="2" applyAlignment="1">
      <alignment horizontal="left"/>
    </xf>
    <xf numFmtId="0" fontId="53" fillId="5" borderId="0" xfId="0" applyFont="1" applyFill="1"/>
    <xf numFmtId="165" fontId="4" fillId="6" borderId="22" xfId="0" applyNumberFormat="1" applyFont="1" applyFill="1" applyBorder="1" applyAlignment="1">
      <alignment horizontal="center" vertical="center"/>
    </xf>
    <xf numFmtId="166" fontId="57" fillId="0" borderId="0" xfId="2" applyNumberFormat="1" applyFont="1" applyAlignment="1">
      <alignment horizontal="center"/>
    </xf>
    <xf numFmtId="0" fontId="68" fillId="0" borderId="0" xfId="2" applyFont="1"/>
    <xf numFmtId="165" fontId="69" fillId="0" borderId="18" xfId="0" applyNumberFormat="1" applyFont="1" applyBorder="1" applyAlignment="1">
      <alignment horizontal="right" vertical="center"/>
    </xf>
    <xf numFmtId="165" fontId="47" fillId="0" borderId="19" xfId="0" applyNumberFormat="1" applyFont="1" applyBorder="1" applyAlignment="1">
      <alignment vertical="center"/>
    </xf>
    <xf numFmtId="165" fontId="47" fillId="0" borderId="18" xfId="0" applyNumberFormat="1" applyFont="1" applyBorder="1" applyAlignment="1">
      <alignment vertical="center"/>
    </xf>
    <xf numFmtId="165" fontId="38" fillId="0" borderId="38" xfId="0" applyNumberFormat="1" applyFont="1" applyBorder="1" applyAlignment="1">
      <alignment horizontal="center" vertical="center"/>
    </xf>
    <xf numFmtId="165" fontId="38" fillId="0" borderId="39" xfId="0" applyNumberFormat="1" applyFont="1" applyBorder="1" applyAlignment="1">
      <alignment horizontal="center" vertical="center"/>
    </xf>
    <xf numFmtId="165" fontId="38" fillId="0" borderId="51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left" vertical="center" wrapText="1"/>
    </xf>
    <xf numFmtId="165" fontId="4" fillId="0" borderId="12" xfId="0" applyNumberFormat="1" applyFont="1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left" vertical="center" wrapText="1"/>
    </xf>
    <xf numFmtId="165" fontId="3" fillId="0" borderId="21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38" fillId="8" borderId="21" xfId="0" applyNumberFormat="1" applyFont="1" applyFill="1" applyBorder="1" applyAlignment="1">
      <alignment horizontal="center" vertical="center"/>
    </xf>
    <xf numFmtId="165" fontId="38" fillId="8" borderId="18" xfId="0" applyNumberFormat="1" applyFont="1" applyFill="1" applyBorder="1" applyAlignment="1">
      <alignment horizontal="center" vertical="center"/>
    </xf>
    <xf numFmtId="165" fontId="4" fillId="0" borderId="47" xfId="0" applyNumberFormat="1" applyFont="1" applyBorder="1" applyAlignment="1">
      <alignment horizontal="left" vertical="center" wrapText="1"/>
    </xf>
    <xf numFmtId="165" fontId="4" fillId="0" borderId="48" xfId="0" applyNumberFormat="1" applyFont="1" applyBorder="1" applyAlignment="1">
      <alignment horizontal="left" vertical="center" wrapText="1"/>
    </xf>
    <xf numFmtId="165" fontId="3" fillId="0" borderId="49" xfId="0" applyNumberFormat="1" applyFont="1" applyBorder="1" applyAlignment="1">
      <alignment horizontal="center" vertical="center"/>
    </xf>
    <xf numFmtId="165" fontId="3" fillId="0" borderId="50" xfId="0" applyNumberFormat="1" applyFont="1" applyBorder="1" applyAlignment="1">
      <alignment horizontal="center" vertical="center"/>
    </xf>
    <xf numFmtId="165" fontId="38" fillId="8" borderId="49" xfId="0" applyNumberFormat="1" applyFont="1" applyFill="1" applyBorder="1" applyAlignment="1">
      <alignment horizontal="center" vertical="center"/>
    </xf>
    <xf numFmtId="165" fontId="38" fillId="8" borderId="50" xfId="0" applyNumberFormat="1" applyFont="1" applyFill="1" applyBorder="1" applyAlignment="1">
      <alignment horizontal="center" vertical="center"/>
    </xf>
    <xf numFmtId="165" fontId="3" fillId="7" borderId="10" xfId="0" applyNumberFormat="1" applyFont="1" applyFill="1" applyBorder="1" applyAlignment="1">
      <alignment horizontal="left" vertical="center"/>
    </xf>
    <xf numFmtId="165" fontId="3" fillId="7" borderId="12" xfId="0" applyNumberFormat="1" applyFont="1" applyFill="1" applyBorder="1" applyAlignment="1">
      <alignment horizontal="left" vertical="center"/>
    </xf>
    <xf numFmtId="165" fontId="4" fillId="0" borderId="15" xfId="0" applyNumberFormat="1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39" fillId="0" borderId="21" xfId="0" applyNumberFormat="1" applyFont="1" applyBorder="1" applyAlignment="1">
      <alignment horizontal="center" vertical="center" wrapText="1"/>
    </xf>
    <xf numFmtId="165" fontId="39" fillId="0" borderId="18" xfId="0" applyNumberFormat="1" applyFont="1" applyBorder="1" applyAlignment="1">
      <alignment horizontal="center" vertical="center" wrapText="1"/>
    </xf>
    <xf numFmtId="2" fontId="12" fillId="0" borderId="19" xfId="0" applyNumberFormat="1" applyFont="1" applyBorder="1" applyAlignment="1">
      <alignment horizontal="left" vertical="center"/>
    </xf>
    <xf numFmtId="2" fontId="12" fillId="0" borderId="18" xfId="0" applyNumberFormat="1" applyFont="1" applyBorder="1" applyAlignment="1">
      <alignment horizontal="left" vertical="center"/>
    </xf>
    <xf numFmtId="165" fontId="5" fillId="0" borderId="20" xfId="0" applyNumberFormat="1" applyFont="1" applyBorder="1" applyAlignment="1">
      <alignment horizontal="center" vertical="center"/>
    </xf>
    <xf numFmtId="2" fontId="3" fillId="7" borderId="10" xfId="0" applyNumberFormat="1" applyFont="1" applyFill="1" applyBorder="1" applyAlignment="1">
      <alignment horizontal="left" vertical="center"/>
    </xf>
    <xf numFmtId="2" fontId="3" fillId="7" borderId="11" xfId="0" applyNumberFormat="1" applyFont="1" applyFill="1" applyBorder="1" applyAlignment="1">
      <alignment horizontal="left" vertical="center"/>
    </xf>
    <xf numFmtId="2" fontId="3" fillId="7" borderId="3" xfId="0" applyNumberFormat="1" applyFont="1" applyFill="1" applyBorder="1" applyAlignment="1">
      <alignment horizontal="left" vertical="center"/>
    </xf>
    <xf numFmtId="2" fontId="3" fillId="7" borderId="4" xfId="0" applyNumberFormat="1" applyFont="1" applyFill="1" applyBorder="1" applyAlignment="1">
      <alignment horizontal="left" vertical="center"/>
    </xf>
    <xf numFmtId="2" fontId="3" fillId="0" borderId="19" xfId="0" applyNumberFormat="1" applyFont="1" applyBorder="1" applyAlignment="1">
      <alignment horizontal="left" vertical="center"/>
    </xf>
    <xf numFmtId="2" fontId="3" fillId="0" borderId="18" xfId="0" applyNumberFormat="1" applyFont="1" applyBorder="1" applyAlignment="1">
      <alignment horizontal="left" vertical="center"/>
    </xf>
    <xf numFmtId="165" fontId="3" fillId="0" borderId="20" xfId="0" applyNumberFormat="1" applyFont="1" applyBorder="1" applyAlignment="1">
      <alignment horizontal="center" vertical="center"/>
    </xf>
    <xf numFmtId="165" fontId="15" fillId="6" borderId="21" xfId="0" applyNumberFormat="1" applyFont="1" applyFill="1" applyBorder="1" applyAlignment="1">
      <alignment horizontal="center" vertical="center"/>
    </xf>
    <xf numFmtId="165" fontId="15" fillId="6" borderId="20" xfId="0" applyNumberFormat="1" applyFont="1" applyFill="1" applyBorder="1" applyAlignment="1">
      <alignment horizontal="center" vertical="center"/>
    </xf>
    <xf numFmtId="165" fontId="15" fillId="6" borderId="22" xfId="0" applyNumberFormat="1" applyFont="1" applyFill="1" applyBorder="1" applyAlignment="1">
      <alignment horizontal="center" vertical="center"/>
    </xf>
    <xf numFmtId="165" fontId="25" fillId="0" borderId="15" xfId="0" applyNumberFormat="1" applyFont="1" applyBorder="1" applyAlignment="1">
      <alignment horizontal="left" vertical="center"/>
    </xf>
    <xf numFmtId="165" fontId="25" fillId="0" borderId="2" xfId="0" applyNumberFormat="1" applyFont="1" applyBorder="1" applyAlignment="1">
      <alignment horizontal="left" vertical="center"/>
    </xf>
    <xf numFmtId="165" fontId="4" fillId="0" borderId="20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3" fillId="3" borderId="38" xfId="0" applyNumberFormat="1" applyFont="1" applyFill="1" applyBorder="1" applyAlignment="1">
      <alignment horizontal="center" vertical="center"/>
    </xf>
    <xf numFmtId="165" fontId="3" fillId="3" borderId="39" xfId="0" applyNumberFormat="1" applyFont="1" applyFill="1" applyBorder="1" applyAlignment="1">
      <alignment horizontal="center" vertical="center"/>
    </xf>
    <xf numFmtId="165" fontId="3" fillId="3" borderId="28" xfId="0" applyNumberFormat="1" applyFont="1" applyFill="1" applyBorder="1" applyAlignment="1">
      <alignment horizontal="center" vertical="center"/>
    </xf>
    <xf numFmtId="2" fontId="4" fillId="0" borderId="11" xfId="0" applyNumberFormat="1" applyFont="1" applyBorder="1" applyAlignment="1">
      <alignment horizontal="left" vertical="center"/>
    </xf>
    <xf numFmtId="2" fontId="4" fillId="0" borderId="14" xfId="0" applyNumberFormat="1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2" fontId="4" fillId="0" borderId="7" xfId="0" applyNumberFormat="1" applyFont="1" applyBorder="1" applyAlignment="1">
      <alignment horizontal="left" vertical="center"/>
    </xf>
    <xf numFmtId="165" fontId="47" fillId="0" borderId="19" xfId="0" applyNumberFormat="1" applyFont="1" applyBorder="1" applyAlignment="1">
      <alignment vertical="center"/>
    </xf>
    <xf numFmtId="165" fontId="47" fillId="0" borderId="18" xfId="0" applyNumberFormat="1" applyFont="1" applyBorder="1" applyAlignment="1">
      <alignment vertical="center"/>
    </xf>
    <xf numFmtId="165" fontId="47" fillId="0" borderId="19" xfId="0" applyNumberFormat="1" applyFont="1" applyBorder="1" applyAlignment="1">
      <alignment vertical="center" wrapText="1"/>
    </xf>
    <xf numFmtId="165" fontId="47" fillId="0" borderId="18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horizontal="center" vertical="center" wrapText="1" shrinkToFit="1"/>
    </xf>
    <xf numFmtId="165" fontId="47" fillId="0" borderId="19" xfId="0" applyNumberFormat="1" applyFont="1" applyBorder="1" applyAlignment="1">
      <alignment horizontal="left" vertical="center" wrapText="1"/>
    </xf>
    <xf numFmtId="165" fontId="47" fillId="0" borderId="18" xfId="0" applyNumberFormat="1" applyFont="1" applyBorder="1" applyAlignment="1">
      <alignment horizontal="left" vertical="center" wrapText="1"/>
    </xf>
    <xf numFmtId="165" fontId="4" fillId="7" borderId="19" xfId="0" applyNumberFormat="1" applyFont="1" applyFill="1" applyBorder="1" applyAlignment="1">
      <alignment horizontal="left" vertical="center"/>
    </xf>
    <xf numFmtId="165" fontId="4" fillId="7" borderId="18" xfId="0" applyNumberFormat="1" applyFont="1" applyFill="1" applyBorder="1" applyAlignment="1">
      <alignment horizontal="left" vertical="center"/>
    </xf>
    <xf numFmtId="165" fontId="15" fillId="0" borderId="2" xfId="0" applyNumberFormat="1" applyFont="1" applyBorder="1" applyAlignment="1">
      <alignment horizontal="right" vertical="center"/>
    </xf>
    <xf numFmtId="165" fontId="49" fillId="0" borderId="2" xfId="0" applyNumberFormat="1" applyFont="1" applyBorder="1" applyAlignment="1">
      <alignment horizontal="center" vertical="center" wrapText="1"/>
    </xf>
    <xf numFmtId="165" fontId="15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/>
    </xf>
    <xf numFmtId="165" fontId="46" fillId="0" borderId="16" xfId="0" applyNumberFormat="1" applyFont="1" applyBorder="1" applyAlignment="1">
      <alignment horizontal="center" vertical="center" wrapText="1"/>
    </xf>
    <xf numFmtId="165" fontId="46" fillId="0" borderId="29" xfId="0" applyNumberFormat="1" applyFont="1" applyBorder="1" applyAlignment="1">
      <alignment horizontal="center" vertical="center" wrapText="1"/>
    </xf>
    <xf numFmtId="165" fontId="46" fillId="0" borderId="30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left" vertical="center"/>
    </xf>
    <xf numFmtId="165" fontId="3" fillId="7" borderId="6" xfId="0" applyNumberFormat="1" applyFont="1" applyFill="1" applyBorder="1" applyAlignment="1">
      <alignment horizontal="left" vertical="center"/>
    </xf>
    <xf numFmtId="165" fontId="3" fillId="7" borderId="5" xfId="0" applyNumberFormat="1" applyFont="1" applyFill="1" applyBorder="1" applyAlignment="1">
      <alignment horizontal="left" vertical="center"/>
    </xf>
    <xf numFmtId="165" fontId="3" fillId="0" borderId="19" xfId="0" applyNumberFormat="1" applyFont="1" applyBorder="1" applyAlignment="1">
      <alignment horizontal="left" vertical="center"/>
    </xf>
    <xf numFmtId="165" fontId="3" fillId="0" borderId="18" xfId="0" applyNumberFormat="1" applyFont="1" applyBorder="1" applyAlignment="1">
      <alignment horizontal="left" vertical="center"/>
    </xf>
    <xf numFmtId="2" fontId="50" fillId="0" borderId="35" xfId="0" applyNumberFormat="1" applyFont="1" applyBorder="1" applyAlignment="1">
      <alignment horizontal="center" vertical="center" wrapText="1"/>
    </xf>
    <xf numFmtId="2" fontId="50" fillId="0" borderId="36" xfId="0" applyNumberFormat="1" applyFont="1" applyBorder="1" applyAlignment="1">
      <alignment horizontal="center" vertical="center" wrapText="1"/>
    </xf>
    <xf numFmtId="165" fontId="3" fillId="7" borderId="19" xfId="0" applyNumberFormat="1" applyFont="1" applyFill="1" applyBorder="1" applyAlignment="1">
      <alignment horizontal="left" vertical="center"/>
    </xf>
    <xf numFmtId="165" fontId="3" fillId="7" borderId="20" xfId="0" applyNumberFormat="1" applyFont="1" applyFill="1" applyBorder="1" applyAlignment="1">
      <alignment horizontal="left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25" fillId="7" borderId="19" xfId="0" applyNumberFormat="1" applyFont="1" applyFill="1" applyBorder="1" applyAlignment="1">
      <alignment horizontal="left" vertical="center"/>
    </xf>
    <xf numFmtId="165" fontId="25" fillId="7" borderId="20" xfId="0" applyNumberFormat="1" applyFont="1" applyFill="1" applyBorder="1" applyAlignment="1">
      <alignment horizontal="left" vertical="center"/>
    </xf>
    <xf numFmtId="2" fontId="5" fillId="0" borderId="21" xfId="0" applyNumberFormat="1" applyFont="1" applyBorder="1" applyAlignment="1">
      <alignment horizontal="left" vertical="center"/>
    </xf>
    <xf numFmtId="2" fontId="5" fillId="0" borderId="20" xfId="0" applyNumberFormat="1" applyFont="1" applyBorder="1" applyAlignment="1">
      <alignment horizontal="left" vertical="center"/>
    </xf>
    <xf numFmtId="2" fontId="5" fillId="0" borderId="18" xfId="0" applyNumberFormat="1" applyFont="1" applyBorder="1" applyAlignment="1">
      <alignment horizontal="left" vertical="center"/>
    </xf>
    <xf numFmtId="2" fontId="4" fillId="5" borderId="25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26" xfId="0" applyNumberFormat="1" applyFont="1" applyFill="1" applyBorder="1" applyAlignment="1">
      <alignment horizontal="center" vertical="center"/>
    </xf>
    <xf numFmtId="2" fontId="3" fillId="0" borderId="10" xfId="0" applyNumberFormat="1" applyFont="1" applyBorder="1" applyAlignment="1">
      <alignment horizontal="left" vertical="center"/>
    </xf>
    <xf numFmtId="2" fontId="3" fillId="0" borderId="12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left" vertical="center"/>
    </xf>
    <xf numFmtId="2" fontId="3" fillId="0" borderId="31" xfId="0" applyNumberFormat="1" applyFont="1" applyBorder="1" applyAlignment="1">
      <alignment horizontal="left" vertical="center"/>
    </xf>
    <xf numFmtId="2" fontId="3" fillId="0" borderId="3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left" vertical="center"/>
    </xf>
    <xf numFmtId="2" fontId="4" fillId="0" borderId="11" xfId="0" applyNumberFormat="1" applyFont="1" applyBorder="1" applyAlignment="1">
      <alignment horizontal="left" vertical="center" wrapText="1"/>
    </xf>
    <xf numFmtId="2" fontId="4" fillId="0" borderId="20" xfId="0" applyNumberFormat="1" applyFont="1" applyBorder="1" applyAlignment="1">
      <alignment horizontal="left" vertical="center" wrapText="1"/>
    </xf>
    <xf numFmtId="165" fontId="25" fillId="5" borderId="18" xfId="0" applyNumberFormat="1" applyFont="1" applyFill="1" applyBorder="1" applyAlignment="1">
      <alignment horizontal="center" vertical="center"/>
    </xf>
    <xf numFmtId="165" fontId="25" fillId="5" borderId="2" xfId="0" applyNumberFormat="1" applyFont="1" applyFill="1" applyBorder="1" applyAlignment="1">
      <alignment horizontal="center" vertical="center"/>
    </xf>
    <xf numFmtId="165" fontId="25" fillId="5" borderId="21" xfId="0" applyNumberFormat="1" applyFont="1" applyFill="1" applyBorder="1" applyAlignment="1">
      <alignment horizontal="center" vertical="center"/>
    </xf>
    <xf numFmtId="2" fontId="4" fillId="0" borderId="20" xfId="0" applyNumberFormat="1" applyFont="1" applyBorder="1" applyAlignment="1">
      <alignment horizontal="left" vertical="center"/>
    </xf>
    <xf numFmtId="165" fontId="4" fillId="0" borderId="40" xfId="0" applyNumberFormat="1" applyFont="1" applyBorder="1" applyAlignment="1">
      <alignment horizontal="center" vertical="center"/>
    </xf>
    <xf numFmtId="165" fontId="4" fillId="0" borderId="41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3" fillId="8" borderId="21" xfId="0" applyNumberFormat="1" applyFont="1" applyFill="1" applyBorder="1" applyAlignment="1">
      <alignment horizontal="center" vertical="center"/>
    </xf>
    <xf numFmtId="165" fontId="3" fillId="8" borderId="18" xfId="0" applyNumberFormat="1" applyFont="1" applyFill="1" applyBorder="1" applyAlignment="1">
      <alignment horizontal="center" vertical="center"/>
    </xf>
    <xf numFmtId="165" fontId="3" fillId="6" borderId="13" xfId="0" applyNumberFormat="1" applyFont="1" applyFill="1" applyBorder="1" applyAlignment="1">
      <alignment horizontal="center" vertical="center"/>
    </xf>
    <xf numFmtId="165" fontId="3" fillId="6" borderId="12" xfId="0" applyNumberFormat="1" applyFont="1" applyFill="1" applyBorder="1" applyAlignment="1">
      <alignment horizontal="center" vertical="center"/>
    </xf>
    <xf numFmtId="165" fontId="3" fillId="6" borderId="37" xfId="0" applyNumberFormat="1" applyFont="1" applyFill="1" applyBorder="1" applyAlignment="1">
      <alignment horizontal="center" vertical="center"/>
    </xf>
    <xf numFmtId="165" fontId="3" fillId="6" borderId="31" xfId="0" applyNumberFormat="1" applyFont="1" applyFill="1" applyBorder="1" applyAlignment="1">
      <alignment horizontal="center" vertical="center"/>
    </xf>
    <xf numFmtId="165" fontId="3" fillId="6" borderId="6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vertical="center" wrapText="1"/>
    </xf>
    <xf numFmtId="165" fontId="5" fillId="0" borderId="37" xfId="0" applyNumberFormat="1" applyFont="1" applyBorder="1" applyAlignment="1">
      <alignment horizontal="center" vertical="center" wrapText="1"/>
    </xf>
    <xf numFmtId="165" fontId="5" fillId="0" borderId="31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165" fontId="25" fillId="8" borderId="2" xfId="0" applyNumberFormat="1" applyFont="1" applyFill="1" applyBorder="1" applyAlignment="1">
      <alignment horizontal="center" vertical="center"/>
    </xf>
    <xf numFmtId="165" fontId="25" fillId="8" borderId="17" xfId="0" applyNumberFormat="1" applyFont="1" applyFill="1" applyBorder="1" applyAlignment="1">
      <alignment horizontal="center" vertical="center"/>
    </xf>
    <xf numFmtId="165" fontId="25" fillId="7" borderId="15" xfId="0" applyNumberFormat="1" applyFont="1" applyFill="1" applyBorder="1" applyAlignment="1">
      <alignment horizontal="left" vertical="center" wrapText="1"/>
    </xf>
    <xf numFmtId="165" fontId="25" fillId="7" borderId="2" xfId="0" applyNumberFormat="1" applyFont="1" applyFill="1" applyBorder="1" applyAlignment="1">
      <alignment horizontal="left" vertical="center" wrapText="1"/>
    </xf>
    <xf numFmtId="165" fontId="4" fillId="0" borderId="17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25" fillId="7" borderId="2" xfId="0" applyNumberFormat="1" applyFont="1" applyFill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165" fontId="15" fillId="6" borderId="13" xfId="0" applyNumberFormat="1" applyFont="1" applyFill="1" applyBorder="1" applyAlignment="1">
      <alignment horizontal="center" vertical="center"/>
    </xf>
    <xf numFmtId="165" fontId="15" fillId="6" borderId="11" xfId="0" applyNumberFormat="1" applyFont="1" applyFill="1" applyBorder="1" applyAlignment="1">
      <alignment horizontal="center" vertical="center"/>
    </xf>
    <xf numFmtId="165" fontId="15" fillId="6" borderId="14" xfId="0" applyNumberFormat="1" applyFont="1" applyFill="1" applyBorder="1" applyAlignment="1">
      <alignment horizontal="center" vertical="center"/>
    </xf>
    <xf numFmtId="165" fontId="15" fillId="6" borderId="6" xfId="0" applyNumberFormat="1" applyFont="1" applyFill="1" applyBorder="1" applyAlignment="1">
      <alignment horizontal="center" vertical="center"/>
    </xf>
    <xf numFmtId="165" fontId="15" fillId="6" borderId="4" xfId="0" applyNumberFormat="1" applyFont="1" applyFill="1" applyBorder="1" applyAlignment="1">
      <alignment horizontal="center" vertical="center"/>
    </xf>
    <xf numFmtId="165" fontId="15" fillId="6" borderId="7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left" vertical="center"/>
    </xf>
    <xf numFmtId="165" fontId="5" fillId="0" borderId="10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2" fontId="50" fillId="5" borderId="42" xfId="0" applyNumberFormat="1" applyFont="1" applyFill="1" applyBorder="1" applyAlignment="1">
      <alignment horizontal="center" vertical="center" wrapText="1"/>
    </xf>
    <xf numFmtId="2" fontId="50" fillId="5" borderId="44" xfId="0" applyNumberFormat="1" applyFont="1" applyFill="1" applyBorder="1" applyAlignment="1">
      <alignment horizontal="center" vertical="center" wrapText="1"/>
    </xf>
    <xf numFmtId="2" fontId="50" fillId="0" borderId="43" xfId="0" applyNumberFormat="1" applyFont="1" applyBorder="1" applyAlignment="1">
      <alignment horizontal="right" vertical="center" wrapText="1"/>
    </xf>
    <xf numFmtId="2" fontId="50" fillId="0" borderId="45" xfId="0" applyNumberFormat="1" applyFont="1" applyBorder="1" applyAlignment="1">
      <alignment horizontal="right" vertical="center" wrapText="1"/>
    </xf>
    <xf numFmtId="2" fontId="50" fillId="0" borderId="42" xfId="0" applyNumberFormat="1" applyFont="1" applyBorder="1" applyAlignment="1">
      <alignment horizontal="center" vertical="center" wrapText="1"/>
    </xf>
    <xf numFmtId="2" fontId="50" fillId="0" borderId="43" xfId="0" applyNumberFormat="1" applyFont="1" applyBorder="1" applyAlignment="1">
      <alignment horizontal="center" vertical="center" wrapText="1"/>
    </xf>
    <xf numFmtId="165" fontId="25" fillId="5" borderId="17" xfId="0" applyNumberFormat="1" applyFont="1" applyFill="1" applyBorder="1" applyAlignment="1">
      <alignment horizontal="center" vertical="center"/>
    </xf>
    <xf numFmtId="0" fontId="58" fillId="0" borderId="21" xfId="2" applyFont="1" applyBorder="1" applyAlignment="1">
      <alignment horizontal="center"/>
    </xf>
    <xf numFmtId="0" fontId="58" fillId="0" borderId="20" xfId="2" applyFont="1" applyBorder="1" applyAlignment="1">
      <alignment horizontal="center"/>
    </xf>
    <xf numFmtId="0" fontId="58" fillId="0" borderId="18" xfId="2" applyFont="1" applyBorder="1" applyAlignment="1">
      <alignment horizontal="center"/>
    </xf>
    <xf numFmtId="0" fontId="58" fillId="0" borderId="2" xfId="2" applyFont="1" applyBorder="1" applyAlignment="1">
      <alignment horizontal="center"/>
    </xf>
    <xf numFmtId="0" fontId="57" fillId="0" borderId="0" xfId="2" applyFont="1" applyAlignment="1">
      <alignment horizontal="center"/>
    </xf>
    <xf numFmtId="0" fontId="58" fillId="0" borderId="13" xfId="2" applyFont="1" applyBorder="1" applyAlignment="1">
      <alignment horizontal="center"/>
    </xf>
    <xf numFmtId="0" fontId="58" fillId="0" borderId="12" xfId="2" applyFont="1" applyBorder="1" applyAlignment="1">
      <alignment horizontal="center"/>
    </xf>
    <xf numFmtId="0" fontId="63" fillId="0" borderId="0" xfId="2" applyFont="1" applyAlignment="1">
      <alignment horizontal="left" vertical="center" wrapText="1"/>
    </xf>
    <xf numFmtId="165" fontId="25" fillId="2" borderId="2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left" vertical="center"/>
    </xf>
    <xf numFmtId="165" fontId="4" fillId="2" borderId="29" xfId="0" applyNumberFormat="1" applyFont="1" applyFill="1" applyBorder="1" applyAlignment="1">
      <alignment horizontal="left" vertical="center"/>
    </xf>
    <xf numFmtId="165" fontId="4" fillId="2" borderId="30" xfId="0" applyNumberFormat="1" applyFont="1" applyFill="1" applyBorder="1" applyAlignment="1">
      <alignment horizontal="left" vertical="center"/>
    </xf>
    <xf numFmtId="165" fontId="4" fillId="2" borderId="21" xfId="0" applyNumberFormat="1" applyFont="1" applyFill="1" applyBorder="1" applyAlignment="1">
      <alignment horizontal="center" vertical="center"/>
    </xf>
    <xf numFmtId="165" fontId="4" fillId="2" borderId="20" xfId="0" applyNumberFormat="1" applyFont="1" applyFill="1" applyBorder="1" applyAlignment="1">
      <alignment horizontal="center" vertical="center"/>
    </xf>
    <xf numFmtId="165" fontId="4" fillId="2" borderId="18" xfId="0" applyNumberFormat="1" applyFont="1" applyFill="1" applyBorder="1" applyAlignment="1">
      <alignment horizontal="center" vertical="center"/>
    </xf>
  </cellXfs>
  <cellStyles count="3">
    <cellStyle name="Čiarka 2" xfId="1" xr:uid="{00000000-0005-0000-0000-000000000000}"/>
    <cellStyle name="Normálna" xfId="0" builtinId="0"/>
    <cellStyle name="Normálne 2" xfId="2" xr:uid="{00000000-0005-0000-0000-000002000000}"/>
  </cellStyles>
  <dxfs count="0"/>
  <tableStyles count="0" defaultTableStyle="TableStyleMedium2" defaultPivotStyle="PivotStyleLight16"/>
  <colors>
    <mruColors>
      <color rgb="FF00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960120</xdr:colOff>
          <xdr:row>3</xdr:row>
          <xdr:rowOff>144780</xdr:rowOff>
        </xdr:from>
        <xdr:to>
          <xdr:col>1</xdr:col>
          <xdr:colOff>1158240</xdr:colOff>
          <xdr:row>5</xdr:row>
          <xdr:rowOff>22860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960120</xdr:colOff>
          <xdr:row>2</xdr:row>
          <xdr:rowOff>144780</xdr:rowOff>
        </xdr:from>
        <xdr:to>
          <xdr:col>1</xdr:col>
          <xdr:colOff>1158240</xdr:colOff>
          <xdr:row>4</xdr:row>
          <xdr:rowOff>0</xdr:rowOff>
        </xdr:to>
        <xdr:sp macro="" textlink="">
          <xdr:nvSpPr>
            <xdr:cNvPr id="6160" name="Check Box 1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1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22860</xdr:rowOff>
        </xdr:from>
        <xdr:to>
          <xdr:col>4</xdr:col>
          <xdr:colOff>868680</xdr:colOff>
          <xdr:row>17</xdr:row>
          <xdr:rowOff>0</xdr:rowOff>
        </xdr:to>
        <xdr:sp macro="" textlink="">
          <xdr:nvSpPr>
            <xdr:cNvPr id="6162" name="Check Box 3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1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160020</xdr:rowOff>
        </xdr:from>
        <xdr:to>
          <xdr:col>4</xdr:col>
          <xdr:colOff>883920</xdr:colOff>
          <xdr:row>18</xdr:row>
          <xdr:rowOff>30480</xdr:rowOff>
        </xdr:to>
        <xdr:sp macro="" textlink="">
          <xdr:nvSpPr>
            <xdr:cNvPr id="6163" name="Check Box 4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1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50843</xdr:colOff>
      <xdr:row>54</xdr:row>
      <xdr:rowOff>3668</xdr:rowOff>
    </xdr:from>
    <xdr:to>
      <xdr:col>13</xdr:col>
      <xdr:colOff>615337</xdr:colOff>
      <xdr:row>63</xdr:row>
      <xdr:rowOff>41970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5D4B3293-FE13-232C-322F-B74D205CE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8025" y="12147177"/>
          <a:ext cx="4790130" cy="1534593"/>
        </a:xfrm>
        <a:prstGeom prst="rect">
          <a:avLst/>
        </a:prstGeom>
      </xdr:spPr>
    </xdr:pic>
    <xdr:clientData/>
  </xdr:twoCellAnchor>
  <xdr:twoCellAnchor editAs="oneCell">
    <xdr:from>
      <xdr:col>9</xdr:col>
      <xdr:colOff>136378</xdr:colOff>
      <xdr:row>98</xdr:row>
      <xdr:rowOff>106433</xdr:rowOff>
    </xdr:from>
    <xdr:to>
      <xdr:col>12</xdr:col>
      <xdr:colOff>485561</xdr:colOff>
      <xdr:row>104</xdr:row>
      <xdr:rowOff>255092</xdr:rowOff>
    </xdr:to>
    <xdr:pic>
      <xdr:nvPicPr>
        <xdr:cNvPr id="3" name="Obrázok 2" descr="Obrázok, na ktorom je text, číslo, snímka obrazovky, písmo&#10;&#10;Automaticky generovaný popis">
          <a:extLst>
            <a:ext uri="{FF2B5EF4-FFF2-40B4-BE49-F238E27FC236}">
              <a16:creationId xmlns:a16="http://schemas.microsoft.com/office/drawing/2014/main" id="{50C831F3-1621-4DC8-B010-2229EA46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4549" y="19711604"/>
          <a:ext cx="3747431" cy="1755024"/>
        </a:xfrm>
        <a:prstGeom prst="rect">
          <a:avLst/>
        </a:prstGeom>
      </xdr:spPr>
    </xdr:pic>
    <xdr:clientData/>
  </xdr:twoCellAnchor>
  <xdr:twoCellAnchor editAs="oneCell">
    <xdr:from>
      <xdr:col>9</xdr:col>
      <xdr:colOff>130630</xdr:colOff>
      <xdr:row>84</xdr:row>
      <xdr:rowOff>6379</xdr:rowOff>
    </xdr:from>
    <xdr:to>
      <xdr:col>13</xdr:col>
      <xdr:colOff>46677</xdr:colOff>
      <xdr:row>98</xdr:row>
      <xdr:rowOff>57779</xdr:rowOff>
    </xdr:to>
    <xdr:pic>
      <xdr:nvPicPr>
        <xdr:cNvPr id="4" name="Obrázok 3">
          <a:extLst>
            <a:ext uri="{FF2B5EF4-FFF2-40B4-BE49-F238E27FC236}">
              <a16:creationId xmlns:a16="http://schemas.microsoft.com/office/drawing/2014/main" id="{D4F8F145-F89C-49E3-847E-44AF0881E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8801" y="16998979"/>
          <a:ext cx="4137800" cy="2660161"/>
        </a:xfrm>
        <a:prstGeom prst="rect">
          <a:avLst/>
        </a:prstGeom>
      </xdr:spPr>
    </xdr:pic>
    <xdr:clientData/>
  </xdr:twoCellAnchor>
  <xdr:twoCellAnchor editAs="oneCell">
    <xdr:from>
      <xdr:col>13</xdr:col>
      <xdr:colOff>145774</xdr:colOff>
      <xdr:row>84</xdr:row>
      <xdr:rowOff>198784</xdr:rowOff>
    </xdr:from>
    <xdr:to>
      <xdr:col>19</xdr:col>
      <xdr:colOff>237535</xdr:colOff>
      <xdr:row>99</xdr:row>
      <xdr:rowOff>94885</xdr:rowOff>
    </xdr:to>
    <xdr:pic>
      <xdr:nvPicPr>
        <xdr:cNvPr id="5" name="Obrázok 4">
          <a:extLst>
            <a:ext uri="{FF2B5EF4-FFF2-40B4-BE49-F238E27FC236}">
              <a16:creationId xmlns:a16="http://schemas.microsoft.com/office/drawing/2014/main" id="{9660B2FD-8441-4787-80EA-2E0C63374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4861705" y="16108627"/>
          <a:ext cx="2695126" cy="50395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944880</xdr:colOff>
          <xdr:row>3</xdr:row>
          <xdr:rowOff>144780</xdr:rowOff>
        </xdr:from>
        <xdr:to>
          <xdr:col>1</xdr:col>
          <xdr:colOff>1143000</xdr:colOff>
          <xdr:row>5</xdr:row>
          <xdr:rowOff>22860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944880</xdr:colOff>
          <xdr:row>2</xdr:row>
          <xdr:rowOff>144780</xdr:rowOff>
        </xdr:from>
        <xdr:to>
          <xdr:col>1</xdr:col>
          <xdr:colOff>1143000</xdr:colOff>
          <xdr:row>4</xdr:row>
          <xdr:rowOff>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17</xdr:row>
          <xdr:rowOff>22860</xdr:rowOff>
        </xdr:from>
        <xdr:to>
          <xdr:col>4</xdr:col>
          <xdr:colOff>868680</xdr:colOff>
          <xdr:row>17</xdr:row>
          <xdr:rowOff>160020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17</xdr:row>
          <xdr:rowOff>160020</xdr:rowOff>
        </xdr:from>
        <xdr:to>
          <xdr:col>4</xdr:col>
          <xdr:colOff>883920</xdr:colOff>
          <xdr:row>19</xdr:row>
          <xdr:rowOff>30480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575553</xdr:colOff>
      <xdr:row>8</xdr:row>
      <xdr:rowOff>16212</xdr:rowOff>
    </xdr:from>
    <xdr:to>
      <xdr:col>72</xdr:col>
      <xdr:colOff>87431</xdr:colOff>
      <xdr:row>37</xdr:row>
      <xdr:rowOff>142562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ED1C54C2-E8AC-4A2B-81F4-149871910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23319" y="1807723"/>
          <a:ext cx="5129601" cy="55089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225633</xdr:colOff>
      <xdr:row>0</xdr:row>
      <xdr:rowOff>190499</xdr:rowOff>
    </xdr:from>
    <xdr:to>
      <xdr:col>12</xdr:col>
      <xdr:colOff>487082</xdr:colOff>
      <xdr:row>17</xdr:row>
      <xdr:rowOff>152398</xdr:rowOff>
    </xdr:to>
    <xdr:pic>
      <xdr:nvPicPr>
        <xdr:cNvPr id="2" name="Obrázok 1">
          <a:extLst>
            <a:ext uri="{FF2B5EF4-FFF2-40B4-BE49-F238E27FC236}">
              <a16:creationId xmlns:a16="http://schemas.microsoft.com/office/drawing/2014/main" id="{941EBD9B-4529-40F8-9DD1-0D3FBC87F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3757" y="190499"/>
          <a:ext cx="5116670" cy="30705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2.PP\EC\2016_02_EC%20RD%20Pat&#225;k_Novo&#357;\vypocet%20Pata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dentifikacia"/>
      <sheetName val="Geometria"/>
      <sheetName val="U"/>
      <sheetName val="Qh"/>
      <sheetName val="Qvyk"/>
      <sheetName val="Qtv"/>
      <sheetName val="Zdroj"/>
      <sheetName val="Bilancia"/>
      <sheetName val="TOB"/>
      <sheetName val="VYK"/>
      <sheetName val="TV"/>
      <sheetName val="Rekapitulácia"/>
      <sheetName val="Energia"/>
      <sheetName val="EPI, CO2"/>
      <sheetName val="Literatura"/>
      <sheetName val="zoznamy"/>
      <sheetName val="Intenz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Kusové drevo-kotol</v>
          </cell>
        </row>
      </sheetData>
      <sheetData sheetId="8">
        <row r="16">
          <cell r="A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B2" t="str">
            <v>jednorúrkový</v>
          </cell>
        </row>
        <row r="3">
          <cell r="A3" t="str">
            <v>Obvodová stena 1:</v>
          </cell>
          <cell r="C3" t="str">
            <v>Odpor pri prestupe tepla na vnútornom povrchu (vodorovne)</v>
          </cell>
          <cell r="F3" t="str">
            <v>Debnenie, vnútorné</v>
          </cell>
          <cell r="AB3" t="str">
            <v>dvojrúrkový</v>
          </cell>
        </row>
        <row r="4">
          <cell r="A4" t="str">
            <v>Obvodová stena 2:</v>
          </cell>
          <cell r="C4" t="str">
            <v>Odpor pri prestupe tepla na vnútornom povrchu (hore)</v>
          </cell>
          <cell r="F4" t="str">
            <v>Dlažba, keramická</v>
          </cell>
        </row>
        <row r="5">
          <cell r="A5" t="str">
            <v>Strecha 1:</v>
          </cell>
          <cell r="C5" t="str">
            <v>Odpor pri prestupe tepla na vnútornom povrchu (dolu)</v>
          </cell>
          <cell r="F5" t="str">
            <v>Doska, oceľobetónová</v>
          </cell>
        </row>
        <row r="6">
          <cell r="A6" t="str">
            <v>Strecha 2:</v>
          </cell>
          <cell r="C6" t="str">
            <v>Odpor pri prestupe tepla na vonkajšom povrchu</v>
          </cell>
          <cell r="F6" t="str">
            <v>Doska, drevená, mäkká (kolmo na vlákna)</v>
          </cell>
        </row>
        <row r="7">
          <cell r="A7" t="str">
            <v>Strop do podstrešného priestoru:</v>
          </cell>
          <cell r="F7" t="str">
            <v>Doska, drevovláknitá Hofatex</v>
          </cell>
        </row>
        <row r="8">
          <cell r="A8" t="str">
            <v>Podlaha nad nevykurovaným suterénom 1:</v>
          </cell>
          <cell r="F8" t="str">
            <v>Doska, drevotriesková</v>
          </cell>
        </row>
        <row r="9">
          <cell r="A9" t="str">
            <v>Podlaha nad nevykurovaným suterénom 2:</v>
          </cell>
          <cell r="F9" t="str">
            <v>Doska, laminátová</v>
          </cell>
        </row>
        <row r="10">
          <cell r="A10" t="str">
            <v>Podlaha na teréne podľa STN EN ISO 13370:</v>
          </cell>
          <cell r="F10" t="str">
            <v>Doska, plynosilikátová</v>
          </cell>
        </row>
        <row r="11">
          <cell r="F11" t="str">
            <v>Fólia, polyetylénová</v>
          </cell>
        </row>
        <row r="12">
          <cell r="F12" t="str">
            <v>Hydroizolácia</v>
          </cell>
        </row>
        <row r="13">
          <cell r="F13" t="str">
            <v>Izolácia, tepelná</v>
          </cell>
        </row>
        <row r="14">
          <cell r="F14" t="str">
            <v>Izolácia, tepelná, polystyrén EPS</v>
          </cell>
        </row>
        <row r="15">
          <cell r="F15" t="str">
            <v xml:space="preserve">Izolácia, tepelná kročajová tvrdená </v>
          </cell>
        </row>
        <row r="16">
          <cell r="F16" t="str">
            <v xml:space="preserve">Izolácia, tepelná tvrdená </v>
          </cell>
        </row>
        <row r="17">
          <cell r="F17" t="str">
            <v>Izolácia, tepelná, kamenná vlna</v>
          </cell>
        </row>
        <row r="18">
          <cell r="F18" t="str">
            <v>Izolácia, tepelná, minerálna vlna</v>
          </cell>
        </row>
        <row r="19">
          <cell r="F19" t="str">
            <v>Izolácia, tepelná, polyuretán, tuhý</v>
          </cell>
        </row>
        <row r="20">
          <cell r="F20" t="str">
            <v>Malta, lepiaca</v>
          </cell>
        </row>
        <row r="21">
          <cell r="F21" t="str">
            <v>Medzera, vzduchová odvetraná</v>
          </cell>
        </row>
        <row r="22">
          <cell r="F22" t="str">
            <v>Murivo, tehlové Porotherm Profi</v>
          </cell>
        </row>
        <row r="23">
          <cell r="F23" t="str">
            <v>Násyp, struskový</v>
          </cell>
        </row>
        <row r="24">
          <cell r="F24" t="str">
            <v>Obklad, drevený</v>
          </cell>
        </row>
        <row r="25">
          <cell r="F25" t="str">
            <v>Omietka, akrylátová</v>
          </cell>
        </row>
        <row r="26">
          <cell r="F26" t="str">
            <v>Omietka, silikátová</v>
          </cell>
        </row>
        <row r="27">
          <cell r="F27" t="str">
            <v>Omietka, vápenná</v>
          </cell>
        </row>
        <row r="28">
          <cell r="F28" t="str">
            <v>Omietka, vnútorná</v>
          </cell>
        </row>
        <row r="29">
          <cell r="F29" t="str">
            <v>Panel, obvodový, plynosilikátový</v>
          </cell>
        </row>
        <row r="30">
          <cell r="F30" t="str">
            <v>Panel, stropný, železobetónový</v>
          </cell>
        </row>
        <row r="31">
          <cell r="F31" t="str">
            <v>Parkety, drevené</v>
          </cell>
        </row>
        <row r="32">
          <cell r="F32" t="str">
            <v>Pena, podkladová</v>
          </cell>
        </row>
        <row r="33">
          <cell r="F33" t="str">
            <v>Poter, betónový</v>
          </cell>
        </row>
        <row r="34">
          <cell r="F34" t="str">
            <v>Rošt, drevený (mäkké drevo, tok rovnobežne s vláknami)</v>
          </cell>
        </row>
        <row r="35">
          <cell r="F35" t="str">
            <v>Sadrokartón</v>
          </cell>
        </row>
        <row r="36">
          <cell r="F36" t="str">
            <v>Štrk</v>
          </cell>
        </row>
        <row r="37">
          <cell r="F37" t="str">
            <v>Tvárnice, obvodové Ytong P-500</v>
          </cell>
        </row>
        <row r="38">
          <cell r="F38" t="str">
            <v>Vzduchová medzera 30mm (vodorovne)</v>
          </cell>
        </row>
      </sheetData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9" workbookViewId="0">
      <selection activeCell="F11" sqref="F11"/>
    </sheetView>
  </sheetViews>
  <sheetFormatPr defaultRowHeight="14.4"/>
  <cols>
    <col min="1" max="1" width="12.109375" customWidth="1"/>
    <col min="2" max="2" width="19.5546875" customWidth="1"/>
  </cols>
  <sheetData>
    <row r="1" spans="1:3">
      <c r="A1" s="111" t="s">
        <v>159</v>
      </c>
    </row>
    <row r="2" spans="1:3">
      <c r="A2" s="62"/>
      <c r="B2" t="s">
        <v>160</v>
      </c>
    </row>
    <row r="3" spans="1:3">
      <c r="A3" s="112"/>
      <c r="B3" t="s">
        <v>161</v>
      </c>
    </row>
    <row r="4" spans="1:3">
      <c r="A4" s="63"/>
      <c r="B4" t="s">
        <v>163</v>
      </c>
    </row>
    <row r="5" spans="1:3">
      <c r="A5" s="64"/>
      <c r="B5" t="s">
        <v>162</v>
      </c>
    </row>
    <row r="7" spans="1:3">
      <c r="A7" s="111" t="s">
        <v>234</v>
      </c>
      <c r="C7" s="158" t="s">
        <v>239</v>
      </c>
    </row>
    <row r="8" spans="1:3">
      <c r="A8" s="160"/>
      <c r="B8" t="s">
        <v>251</v>
      </c>
      <c r="C8" s="158" t="s">
        <v>240</v>
      </c>
    </row>
    <row r="9" spans="1:3">
      <c r="A9" s="156"/>
      <c r="B9" t="s">
        <v>238</v>
      </c>
      <c r="C9" s="158" t="s">
        <v>240</v>
      </c>
    </row>
    <row r="10" spans="1:3">
      <c r="A10" s="157"/>
      <c r="B10" t="s">
        <v>235</v>
      </c>
      <c r="C10" s="158" t="s">
        <v>236</v>
      </c>
    </row>
    <row r="11" spans="1:3">
      <c r="A11" s="157"/>
      <c r="B11" t="s">
        <v>242</v>
      </c>
      <c r="C11" s="158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6"/>
  <sheetViews>
    <sheetView topLeftCell="A91" zoomScale="110" zoomScaleNormal="110" workbookViewId="0">
      <selection activeCell="G102" sqref="G102:H102"/>
    </sheetView>
  </sheetViews>
  <sheetFormatPr defaultColWidth="9.109375" defaultRowHeight="10.199999999999999" outlineLevelCol="1"/>
  <cols>
    <col min="1" max="1" width="11.33203125" style="9" customWidth="1"/>
    <col min="2" max="2" width="33.44140625" style="9" customWidth="1"/>
    <col min="3" max="3" width="15.109375" style="9" customWidth="1"/>
    <col min="4" max="4" width="9.88671875" style="9" customWidth="1"/>
    <col min="5" max="5" width="20.44140625" style="9" customWidth="1" outlineLevel="1"/>
    <col min="6" max="6" width="11.109375" style="9" customWidth="1"/>
    <col min="7" max="7" width="10.109375" style="9" customWidth="1"/>
    <col min="8" max="8" width="10" style="9" customWidth="1"/>
    <col min="9" max="9" width="14.44140625" style="9" customWidth="1"/>
    <col min="10" max="10" width="19.88671875" style="9" customWidth="1"/>
    <col min="11" max="11" width="17.5546875" style="9" customWidth="1"/>
    <col min="12" max="12" width="12" style="9" customWidth="1"/>
    <col min="13" max="13" width="12.109375" style="9" customWidth="1"/>
    <col min="14" max="14" width="17.109375" style="9" customWidth="1"/>
    <col min="15" max="15" width="9.109375" style="9"/>
    <col min="16" max="16" width="16.6640625" style="9" bestFit="1" customWidth="1"/>
    <col min="17" max="17" width="11.33203125" style="9" bestFit="1" customWidth="1"/>
    <col min="18" max="18" width="6.6640625" style="9" bestFit="1" customWidth="1"/>
    <col min="19" max="19" width="11.33203125" style="9" bestFit="1" customWidth="1"/>
    <col min="20" max="20" width="6.6640625" style="9" bestFit="1" customWidth="1"/>
    <col min="21" max="16384" width="9.109375" style="9"/>
  </cols>
  <sheetData>
    <row r="1" spans="1:26" ht="22.5" customHeight="1">
      <c r="A1" s="65" t="s">
        <v>3</v>
      </c>
      <c r="B1" s="75">
        <f>Legenda!A8</f>
        <v>0</v>
      </c>
      <c r="C1" s="236" t="s">
        <v>167</v>
      </c>
      <c r="D1" s="236"/>
      <c r="E1" s="236"/>
      <c r="F1" s="236"/>
      <c r="G1" s="236"/>
      <c r="H1" s="236"/>
      <c r="I1" s="237"/>
    </row>
    <row r="2" spans="1:26" ht="18" customHeight="1">
      <c r="A2" s="231" t="s">
        <v>4</v>
      </c>
      <c r="B2" s="211"/>
      <c r="C2" s="211" t="s">
        <v>5</v>
      </c>
      <c r="D2" s="211"/>
      <c r="E2" s="1"/>
      <c r="G2" s="115"/>
      <c r="H2" s="211"/>
      <c r="I2" s="212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4.1" customHeight="1">
      <c r="A3" s="51" t="s">
        <v>6</v>
      </c>
      <c r="B3" s="74">
        <f>Legenda!A11</f>
        <v>0</v>
      </c>
      <c r="C3" s="51" t="s">
        <v>7</v>
      </c>
      <c r="D3" s="74">
        <f>Legenda!A10</f>
        <v>0</v>
      </c>
      <c r="E3" s="3"/>
      <c r="F3" s="4"/>
      <c r="H3" s="213"/>
      <c r="I3" s="214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4.1" customHeight="1">
      <c r="A4" s="76" t="s">
        <v>8</v>
      </c>
      <c r="B4" s="103" t="s">
        <v>9</v>
      </c>
      <c r="C4" s="211" t="s">
        <v>10</v>
      </c>
      <c r="D4" s="211"/>
      <c r="E4" s="211"/>
      <c r="F4" s="1"/>
      <c r="G4" s="1"/>
      <c r="H4" s="1"/>
      <c r="I4" s="2"/>
    </row>
    <row r="5" spans="1:26" ht="13.5" customHeight="1" thickBot="1">
      <c r="A5" s="45"/>
      <c r="B5" s="104" t="s">
        <v>164</v>
      </c>
      <c r="C5" s="51" t="s">
        <v>11</v>
      </c>
      <c r="D5" s="74" t="e">
        <f>B3/D3</f>
        <v>#DIV/0!</v>
      </c>
      <c r="E5" s="47"/>
      <c r="F5" s="46"/>
      <c r="G5" s="46"/>
      <c r="H5" s="46"/>
      <c r="I5" s="48"/>
    </row>
    <row r="6" spans="1:26" ht="68.25" customHeight="1">
      <c r="A6" s="232" t="s">
        <v>12</v>
      </c>
      <c r="B6" s="233"/>
      <c r="E6" s="99" t="s">
        <v>108</v>
      </c>
      <c r="I6" s="148" t="s">
        <v>109</v>
      </c>
    </row>
    <row r="7" spans="1:26" ht="13.5" customHeight="1">
      <c r="A7" s="234" t="s">
        <v>0</v>
      </c>
      <c r="B7" s="235"/>
      <c r="C7" s="100" t="s">
        <v>13</v>
      </c>
      <c r="D7" s="100" t="s">
        <v>14</v>
      </c>
      <c r="E7" s="101" t="s">
        <v>153</v>
      </c>
      <c r="F7" s="100" t="s">
        <v>15</v>
      </c>
      <c r="G7" s="100" t="s">
        <v>16</v>
      </c>
      <c r="H7" s="102" t="s">
        <v>17</v>
      </c>
      <c r="I7" s="30" t="s">
        <v>116</v>
      </c>
    </row>
    <row r="8" spans="1:26" ht="13.5" customHeight="1">
      <c r="A8" s="215" t="s">
        <v>248</v>
      </c>
      <c r="B8" s="216"/>
      <c r="C8" s="66"/>
      <c r="D8" s="66"/>
      <c r="E8" s="52" t="s">
        <v>110</v>
      </c>
      <c r="F8" s="67">
        <f>C8*D8</f>
        <v>0</v>
      </c>
      <c r="G8" s="69">
        <v>1</v>
      </c>
      <c r="H8" s="68">
        <f>G8*F8</f>
        <v>0</v>
      </c>
      <c r="I8" s="149" t="e">
        <f>H8/H16</f>
        <v>#DIV/0!</v>
      </c>
    </row>
    <row r="9" spans="1:26" ht="21" customHeight="1">
      <c r="A9" s="217" t="s">
        <v>249</v>
      </c>
      <c r="B9" s="218"/>
      <c r="C9" s="66"/>
      <c r="D9" s="66"/>
      <c r="E9" s="52" t="s">
        <v>111</v>
      </c>
      <c r="F9" s="67">
        <f t="shared" ref="F9" si="0">C9*D9</f>
        <v>0</v>
      </c>
      <c r="G9" s="69">
        <v>1</v>
      </c>
      <c r="H9" s="68">
        <f t="shared" ref="H9" si="1">G9*F9</f>
        <v>0</v>
      </c>
      <c r="I9" s="149" t="e">
        <f>H9/H16</f>
        <v>#DIV/0!</v>
      </c>
      <c r="K9" s="37"/>
      <c r="L9" s="37"/>
      <c r="M9" s="38"/>
      <c r="N9" s="38"/>
    </row>
    <row r="10" spans="1:26" ht="13.2" customHeight="1">
      <c r="A10" s="215" t="s">
        <v>107</v>
      </c>
      <c r="B10" s="216"/>
      <c r="C10" s="66"/>
      <c r="D10" s="66"/>
      <c r="E10" s="52" t="s">
        <v>112</v>
      </c>
      <c r="F10" s="67">
        <f t="shared" ref="F10:F15" si="2">C10*D10</f>
        <v>0</v>
      </c>
      <c r="G10" s="69">
        <v>1</v>
      </c>
      <c r="H10" s="68">
        <f t="shared" ref="H10:H15" si="3">G10*F10</f>
        <v>0</v>
      </c>
      <c r="I10" s="149" t="e">
        <f>H10/H16</f>
        <v>#DIV/0!</v>
      </c>
      <c r="K10" s="37"/>
      <c r="L10" s="37"/>
      <c r="M10" s="38"/>
      <c r="N10" s="38"/>
    </row>
    <row r="11" spans="1:26" ht="28.5" customHeight="1">
      <c r="A11" s="217" t="s">
        <v>154</v>
      </c>
      <c r="B11" s="218"/>
      <c r="C11" s="66"/>
      <c r="D11" s="66"/>
      <c r="E11" s="52" t="s">
        <v>113</v>
      </c>
      <c r="F11" s="67">
        <f t="shared" ref="F11" si="4">C11*D11</f>
        <v>0</v>
      </c>
      <c r="G11" s="69">
        <v>1</v>
      </c>
      <c r="H11" s="68">
        <f t="shared" ref="H11" si="5">G11*F11</f>
        <v>0</v>
      </c>
      <c r="I11" s="149" t="e">
        <f>H11/H16</f>
        <v>#DIV/0!</v>
      </c>
      <c r="K11" s="37"/>
      <c r="L11" s="37"/>
      <c r="M11" s="38"/>
      <c r="N11" s="38"/>
    </row>
    <row r="12" spans="1:26" ht="21.6" customHeight="1">
      <c r="A12" s="220" t="s">
        <v>104</v>
      </c>
      <c r="B12" s="221"/>
      <c r="C12" s="66"/>
      <c r="D12" s="66"/>
      <c r="E12" s="228" t="s">
        <v>115</v>
      </c>
      <c r="F12" s="67">
        <f t="shared" si="2"/>
        <v>0</v>
      </c>
      <c r="G12" s="69">
        <v>0.8</v>
      </c>
      <c r="H12" s="68">
        <f t="shared" si="3"/>
        <v>0</v>
      </c>
      <c r="I12" s="149" t="e">
        <f>H12/H16</f>
        <v>#DIV/0!</v>
      </c>
    </row>
    <row r="13" spans="1:26" ht="26.25" customHeight="1">
      <c r="A13" s="220" t="s">
        <v>105</v>
      </c>
      <c r="B13" s="221"/>
      <c r="C13" s="66"/>
      <c r="D13" s="66"/>
      <c r="E13" s="229"/>
      <c r="F13" s="67">
        <f t="shared" si="2"/>
        <v>0</v>
      </c>
      <c r="G13" s="69">
        <v>0.5</v>
      </c>
      <c r="H13" s="68">
        <f t="shared" si="3"/>
        <v>0</v>
      </c>
      <c r="I13" s="149" t="e">
        <f>H13/H16</f>
        <v>#DIV/0!</v>
      </c>
    </row>
    <row r="14" spans="1:26" ht="13.2" customHeight="1">
      <c r="A14" s="220" t="s">
        <v>106</v>
      </c>
      <c r="B14" s="221"/>
      <c r="C14" s="66"/>
      <c r="D14" s="66"/>
      <c r="E14" s="230"/>
      <c r="F14" s="67">
        <f t="shared" si="2"/>
        <v>0</v>
      </c>
      <c r="G14" s="69">
        <v>0.35</v>
      </c>
      <c r="H14" s="68">
        <f t="shared" si="3"/>
        <v>0</v>
      </c>
      <c r="I14" s="149" t="e">
        <f>H14/H16</f>
        <v>#DIV/0!</v>
      </c>
    </row>
    <row r="15" spans="1:26" ht="25.5" customHeight="1" thickBot="1">
      <c r="A15" s="220" t="s">
        <v>151</v>
      </c>
      <c r="B15" s="221"/>
      <c r="C15" s="66"/>
      <c r="D15" s="66"/>
      <c r="E15" s="52" t="s">
        <v>114</v>
      </c>
      <c r="F15" s="67">
        <f t="shared" si="2"/>
        <v>0</v>
      </c>
      <c r="G15" s="69">
        <v>1</v>
      </c>
      <c r="H15" s="68">
        <f t="shared" si="3"/>
        <v>0</v>
      </c>
      <c r="I15" s="149" t="e">
        <f>H15/H16</f>
        <v>#DIV/0!</v>
      </c>
    </row>
    <row r="16" spans="1:26" ht="13.2" customHeight="1" thickBot="1">
      <c r="A16" s="191" t="s">
        <v>1</v>
      </c>
      <c r="B16" s="192"/>
      <c r="C16" s="71" t="s">
        <v>18</v>
      </c>
      <c r="D16" s="70">
        <f>SUM(C8:C15)</f>
        <v>0</v>
      </c>
      <c r="E16" s="72"/>
      <c r="F16" s="73"/>
      <c r="G16" s="71" t="s">
        <v>19</v>
      </c>
      <c r="H16" s="70">
        <f>SUM(H8:H15)</f>
        <v>0</v>
      </c>
      <c r="I16" s="150" t="e">
        <f>#REF!+#REF!+I10+I17+I12+I13+I14+I15+I11</f>
        <v>#REF!</v>
      </c>
    </row>
    <row r="17" spans="1:29" ht="14.1" customHeight="1">
      <c r="A17" s="194" t="s">
        <v>132</v>
      </c>
      <c r="B17" s="195"/>
      <c r="C17" s="5" t="s">
        <v>130</v>
      </c>
      <c r="D17" s="49"/>
      <c r="E17" s="97"/>
      <c r="F17" s="1"/>
      <c r="G17" s="1"/>
      <c r="H17" s="49"/>
      <c r="I17" s="2"/>
    </row>
    <row r="18" spans="1:29" ht="14.1" customHeight="1" thickBot="1">
      <c r="A18" s="196"/>
      <c r="B18" s="197"/>
      <c r="C18" s="34" t="s">
        <v>131</v>
      </c>
      <c r="D18" s="3"/>
      <c r="E18" s="98"/>
      <c r="F18" s="4"/>
      <c r="G18" s="7"/>
      <c r="H18" s="3"/>
      <c r="I18" s="6"/>
    </row>
    <row r="19" spans="1:29" ht="14.1" customHeight="1">
      <c r="A19" s="198" t="s">
        <v>20</v>
      </c>
      <c r="B19" s="199"/>
      <c r="C19" s="33" t="s">
        <v>21</v>
      </c>
      <c r="D19" s="8"/>
      <c r="E19" s="261" t="s">
        <v>133</v>
      </c>
      <c r="F19" s="261"/>
      <c r="G19" s="261"/>
      <c r="H19" s="261"/>
      <c r="I19" s="247">
        <v>0.1</v>
      </c>
    </row>
    <row r="20" spans="1:29" ht="37.5" customHeight="1">
      <c r="A20" s="250" t="s">
        <v>22</v>
      </c>
      <c r="B20" s="251"/>
      <c r="C20" s="33" t="s">
        <v>21</v>
      </c>
      <c r="D20" s="8">
        <v>0.02</v>
      </c>
      <c r="E20" s="256" t="s">
        <v>134</v>
      </c>
      <c r="F20" s="256"/>
      <c r="G20" s="256"/>
      <c r="H20" s="256"/>
      <c r="I20" s="248"/>
      <c r="K20" s="44"/>
    </row>
    <row r="21" spans="1:29" ht="36.75" customHeight="1">
      <c r="A21" s="252"/>
      <c r="B21" s="253"/>
      <c r="C21" s="33" t="s">
        <v>21</v>
      </c>
      <c r="D21" s="8">
        <v>0.05</v>
      </c>
      <c r="E21" s="256" t="s">
        <v>135</v>
      </c>
      <c r="F21" s="256"/>
      <c r="G21" s="256"/>
      <c r="H21" s="256"/>
      <c r="I21" s="248"/>
    </row>
    <row r="22" spans="1:29" ht="36.75" customHeight="1">
      <c r="A22" s="252"/>
      <c r="B22" s="253"/>
      <c r="C22" s="33" t="s">
        <v>21</v>
      </c>
      <c r="D22" s="8">
        <v>0.1</v>
      </c>
      <c r="E22" s="256" t="s">
        <v>136</v>
      </c>
      <c r="F22" s="256"/>
      <c r="G22" s="256"/>
      <c r="H22" s="256"/>
      <c r="I22" s="248"/>
    </row>
    <row r="23" spans="1:29" ht="17.25" customHeight="1" thickBot="1">
      <c r="A23" s="254"/>
      <c r="B23" s="255"/>
      <c r="C23" s="33" t="s">
        <v>21</v>
      </c>
      <c r="D23" s="8">
        <v>0.2</v>
      </c>
      <c r="E23" s="257" t="s">
        <v>137</v>
      </c>
      <c r="F23" s="257"/>
      <c r="G23" s="257"/>
      <c r="H23" s="257"/>
      <c r="I23" s="249"/>
    </row>
    <row r="24" spans="1:29" ht="14.1" customHeight="1">
      <c r="A24" s="227" t="s">
        <v>23</v>
      </c>
      <c r="B24" s="227"/>
      <c r="C24" s="227"/>
      <c r="D24" s="227"/>
      <c r="E24" s="244" t="s">
        <v>24</v>
      </c>
      <c r="F24" s="245"/>
      <c r="G24" s="246"/>
      <c r="H24" s="77">
        <f>I19*D16</f>
        <v>0</v>
      </c>
      <c r="I24" s="54"/>
    </row>
    <row r="25" spans="1:29" ht="14.1" customHeight="1">
      <c r="A25" s="227" t="s">
        <v>25</v>
      </c>
      <c r="B25" s="227"/>
      <c r="C25" s="227"/>
      <c r="D25" s="227"/>
      <c r="E25" s="244" t="s">
        <v>26</v>
      </c>
      <c r="F25" s="245"/>
      <c r="G25" s="246"/>
      <c r="H25" s="78">
        <f>H16+H24</f>
        <v>0</v>
      </c>
      <c r="I25" s="55"/>
      <c r="K25" s="44"/>
    </row>
    <row r="26" spans="1:29" ht="14.1" customHeight="1">
      <c r="A26" s="227" t="s">
        <v>27</v>
      </c>
      <c r="B26" s="227"/>
      <c r="C26" s="227"/>
      <c r="D26" s="227"/>
      <c r="E26" s="244" t="s">
        <v>28</v>
      </c>
      <c r="F26" s="245"/>
      <c r="G26" s="246"/>
      <c r="H26" s="78" t="e">
        <f>H25/D16</f>
        <v>#DIV/0!</v>
      </c>
      <c r="I26" s="55"/>
      <c r="K26" s="44"/>
    </row>
    <row r="27" spans="1:29" ht="23.25" customHeight="1">
      <c r="A27" s="238" t="s">
        <v>29</v>
      </c>
      <c r="B27" s="239"/>
      <c r="C27" s="274" t="s">
        <v>147</v>
      </c>
      <c r="D27" s="275"/>
      <c r="E27" s="225" t="s">
        <v>85</v>
      </c>
      <c r="F27" s="226" t="s">
        <v>31</v>
      </c>
      <c r="G27" s="267">
        <f>(100-E29)%*1.2*1010*0.85*B29*B3/3600</f>
        <v>0</v>
      </c>
      <c r="H27" s="268"/>
      <c r="I27" s="208"/>
    </row>
    <row r="28" spans="1:29" ht="30" customHeight="1">
      <c r="A28" s="35" t="s">
        <v>30</v>
      </c>
      <c r="B28" s="105"/>
      <c r="C28" s="276"/>
      <c r="D28" s="277"/>
      <c r="E28" s="225"/>
      <c r="F28" s="226"/>
      <c r="G28" s="269"/>
      <c r="H28" s="270"/>
      <c r="I28" s="209"/>
    </row>
    <row r="29" spans="1:29" ht="14.1" customHeight="1">
      <c r="A29" s="50" t="s">
        <v>32</v>
      </c>
      <c r="B29" s="96">
        <v>0.5</v>
      </c>
      <c r="C29" s="278"/>
      <c r="D29" s="279"/>
      <c r="E29" s="79">
        <v>0</v>
      </c>
      <c r="F29" s="226"/>
      <c r="G29" s="271"/>
      <c r="H29" s="272"/>
      <c r="I29" s="209"/>
    </row>
    <row r="30" spans="1:29" ht="14.1" customHeight="1">
      <c r="A30" s="238" t="s">
        <v>33</v>
      </c>
      <c r="B30" s="239"/>
      <c r="C30" s="224" t="s">
        <v>34</v>
      </c>
      <c r="D30" s="224"/>
      <c r="E30" s="224"/>
      <c r="F30" s="224"/>
      <c r="G30" s="265">
        <f>H25+G27</f>
        <v>0</v>
      </c>
      <c r="H30" s="266"/>
      <c r="I30" s="210"/>
    </row>
    <row r="31" spans="1:29" ht="14.1" customHeight="1">
      <c r="A31" s="222" t="s">
        <v>35</v>
      </c>
      <c r="B31" s="223"/>
      <c r="C31" s="15" t="s">
        <v>45</v>
      </c>
      <c r="D31" s="15" t="s">
        <v>43</v>
      </c>
      <c r="E31" s="15" t="s">
        <v>46</v>
      </c>
      <c r="F31" s="15" t="s">
        <v>44</v>
      </c>
      <c r="G31" s="193"/>
      <c r="H31" s="193"/>
      <c r="I31" s="10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</row>
    <row r="32" spans="1:29">
      <c r="A32" s="106"/>
      <c r="B32" s="16" t="s">
        <v>47</v>
      </c>
      <c r="C32" s="80">
        <v>0.9</v>
      </c>
      <c r="D32" s="80">
        <v>0.76</v>
      </c>
      <c r="E32" s="80">
        <v>0.51200000000000001</v>
      </c>
      <c r="F32" s="80"/>
      <c r="G32" s="83"/>
      <c r="H32" s="84"/>
      <c r="I32" s="11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</row>
    <row r="33" spans="1:10" ht="13.2" customHeight="1">
      <c r="A33" s="106"/>
      <c r="B33" s="16" t="s">
        <v>48</v>
      </c>
      <c r="C33" s="80">
        <v>0.9</v>
      </c>
      <c r="D33" s="80">
        <v>0.76</v>
      </c>
      <c r="E33" s="80">
        <v>0.51200000000000001</v>
      </c>
      <c r="F33" s="80"/>
      <c r="G33" s="86"/>
      <c r="I33" s="13"/>
    </row>
    <row r="34" spans="1:10" ht="13.2" customHeight="1">
      <c r="A34" s="106"/>
      <c r="B34" s="16" t="s">
        <v>49</v>
      </c>
      <c r="C34" s="80">
        <v>0.9</v>
      </c>
      <c r="D34" s="80">
        <v>0.76</v>
      </c>
      <c r="E34" s="80">
        <v>0.51200000000000001</v>
      </c>
      <c r="F34" s="80"/>
      <c r="G34" s="86"/>
      <c r="I34" s="13"/>
    </row>
    <row r="35" spans="1:10" ht="13.2" customHeight="1">
      <c r="A35" s="106"/>
      <c r="B35" s="16" t="s">
        <v>50</v>
      </c>
      <c r="C35" s="80">
        <v>0.9</v>
      </c>
      <c r="D35" s="80">
        <v>0.76</v>
      </c>
      <c r="E35" s="80">
        <v>0.51200000000000001</v>
      </c>
      <c r="F35" s="80"/>
      <c r="G35" s="86"/>
      <c r="I35" s="13"/>
    </row>
    <row r="36" spans="1:10" ht="13.2" customHeight="1">
      <c r="A36" s="106"/>
      <c r="B36" s="16" t="s">
        <v>211</v>
      </c>
      <c r="C36" s="80">
        <v>0.8</v>
      </c>
      <c r="D36" s="80">
        <v>0.76</v>
      </c>
      <c r="E36" s="80">
        <v>0.64</v>
      </c>
      <c r="F36" s="80"/>
      <c r="G36" s="86"/>
      <c r="I36" s="13"/>
    </row>
    <row r="37" spans="1:10" ht="13.2" customHeight="1">
      <c r="A37" s="106"/>
      <c r="B37" s="16" t="s">
        <v>212</v>
      </c>
      <c r="C37" s="80">
        <v>0.8</v>
      </c>
      <c r="D37" s="80">
        <v>0.76</v>
      </c>
      <c r="E37" s="80">
        <v>0.64</v>
      </c>
      <c r="F37" s="80"/>
      <c r="G37" s="86"/>
      <c r="I37" s="13"/>
    </row>
    <row r="38" spans="1:10" ht="13.2" customHeight="1">
      <c r="A38" s="106"/>
      <c r="B38" s="16" t="s">
        <v>213</v>
      </c>
      <c r="C38" s="80">
        <v>0.8</v>
      </c>
      <c r="D38" s="80">
        <v>0.76</v>
      </c>
      <c r="E38" s="80">
        <v>0.64</v>
      </c>
      <c r="F38" s="80"/>
      <c r="G38" s="86"/>
      <c r="I38" s="13"/>
    </row>
    <row r="39" spans="1:10" ht="13.2" customHeight="1">
      <c r="A39" s="106"/>
      <c r="B39" s="16" t="s">
        <v>214</v>
      </c>
      <c r="C39" s="80">
        <v>0.8</v>
      </c>
      <c r="D39" s="80">
        <v>0.76</v>
      </c>
      <c r="E39" s="80">
        <v>0.64</v>
      </c>
      <c r="F39" s="80"/>
      <c r="G39" s="86"/>
      <c r="I39" s="13"/>
    </row>
    <row r="40" spans="1:10" ht="13.2" customHeight="1">
      <c r="A40" s="106"/>
      <c r="B40" s="16" t="s">
        <v>51</v>
      </c>
      <c r="C40" s="80">
        <v>0.8</v>
      </c>
      <c r="D40" s="80">
        <v>0.76</v>
      </c>
      <c r="E40" s="80">
        <v>0.64</v>
      </c>
      <c r="F40" s="80"/>
      <c r="G40" s="81"/>
      <c r="H40" s="82"/>
      <c r="I40" s="85"/>
    </row>
    <row r="41" spans="1:10" ht="13.2" customHeight="1">
      <c r="A41" s="14"/>
      <c r="B41" s="17"/>
      <c r="C41" s="31"/>
      <c r="D41" s="31"/>
      <c r="E41" s="31"/>
      <c r="F41" s="31"/>
      <c r="G41" s="31"/>
      <c r="H41" s="31"/>
      <c r="I41" s="10"/>
    </row>
    <row r="42" spans="1:10" ht="13.2" customHeight="1">
      <c r="A42" s="242" t="s">
        <v>52</v>
      </c>
      <c r="B42" s="243"/>
      <c r="C42" s="243"/>
      <c r="D42" s="243"/>
      <c r="E42" s="94"/>
      <c r="F42" s="94"/>
      <c r="G42" s="94"/>
      <c r="H42" s="94"/>
      <c r="I42" s="95"/>
    </row>
    <row r="43" spans="1:10" ht="13.2" customHeight="1">
      <c r="A43" s="262"/>
      <c r="B43" s="273" t="s">
        <v>53</v>
      </c>
      <c r="C43" s="273" t="s">
        <v>54</v>
      </c>
      <c r="D43" s="273"/>
      <c r="E43" s="273"/>
      <c r="F43" s="273"/>
      <c r="G43" s="273"/>
      <c r="H43" s="273"/>
      <c r="I43" s="284"/>
    </row>
    <row r="44" spans="1:10" ht="13.2" customHeight="1">
      <c r="A44" s="263"/>
      <c r="B44" s="273"/>
      <c r="C44" s="18" t="s">
        <v>55</v>
      </c>
      <c r="D44" s="18" t="s">
        <v>56</v>
      </c>
      <c r="E44" s="18" t="s">
        <v>57</v>
      </c>
      <c r="F44" s="18" t="s">
        <v>58</v>
      </c>
      <c r="G44" s="18" t="s">
        <v>59</v>
      </c>
      <c r="H44" s="18" t="s">
        <v>60</v>
      </c>
      <c r="I44" s="23" t="s">
        <v>61</v>
      </c>
    </row>
    <row r="45" spans="1:10" ht="13.2" customHeight="1">
      <c r="A45" s="263"/>
      <c r="B45" s="16" t="s">
        <v>62</v>
      </c>
      <c r="C45" s="27">
        <v>31</v>
      </c>
      <c r="D45" s="27">
        <v>28</v>
      </c>
      <c r="E45" s="27">
        <v>31</v>
      </c>
      <c r="F45" s="27">
        <v>30</v>
      </c>
      <c r="G45" s="27">
        <v>31</v>
      </c>
      <c r="H45" s="27">
        <v>30</v>
      </c>
      <c r="I45" s="30">
        <v>31</v>
      </c>
    </row>
    <row r="46" spans="1:10" ht="13.2" customHeight="1">
      <c r="A46" s="263"/>
      <c r="B46" s="16" t="s">
        <v>64</v>
      </c>
      <c r="C46" s="27">
        <v>-1.8</v>
      </c>
      <c r="D46" s="27">
        <v>0.4</v>
      </c>
      <c r="E46" s="27">
        <v>4.5999999999999996</v>
      </c>
      <c r="F46" s="27">
        <v>9.9</v>
      </c>
      <c r="G46" s="27">
        <v>9.8000000000000007</v>
      </c>
      <c r="H46" s="27">
        <v>4.3</v>
      </c>
      <c r="I46" s="30">
        <v>-0.3</v>
      </c>
    </row>
    <row r="47" spans="1:10" ht="13.2" customHeight="1">
      <c r="A47" s="263"/>
      <c r="B47" s="16" t="s">
        <v>63</v>
      </c>
      <c r="C47" s="27">
        <v>20</v>
      </c>
      <c r="D47" s="27">
        <v>20</v>
      </c>
      <c r="E47" s="27">
        <v>20</v>
      </c>
      <c r="F47" s="27">
        <v>20</v>
      </c>
      <c r="G47" s="27">
        <v>20</v>
      </c>
      <c r="H47" s="27">
        <v>20</v>
      </c>
      <c r="I47" s="30">
        <v>20</v>
      </c>
    </row>
    <row r="48" spans="1:10" ht="13.2" customHeight="1">
      <c r="A48" s="264"/>
      <c r="B48" s="16" t="s">
        <v>165</v>
      </c>
      <c r="C48" s="87">
        <f>((20-(C46))*C45*24/1000)*G30</f>
        <v>0</v>
      </c>
      <c r="D48" s="87">
        <f>((20-(D46))*D45*24/1000)*G30</f>
        <v>0</v>
      </c>
      <c r="E48" s="87">
        <f>((20-(E46))*E45*24/1000)*G30</f>
        <v>0</v>
      </c>
      <c r="F48" s="87">
        <f>((20-(F46))*F45*24/1000)*G30</f>
        <v>0</v>
      </c>
      <c r="G48" s="87">
        <f>((20-(G46))*G45*24/1000)*G30</f>
        <v>0</v>
      </c>
      <c r="H48" s="87">
        <f>((20-(H46))*H45*24/1000)*G30</f>
        <v>0</v>
      </c>
      <c r="I48" s="143">
        <f>((20-(I46))*I45*24/1000)*G30</f>
        <v>0</v>
      </c>
      <c r="J48" s="144">
        <f>C48+D48+E48+F48+G48+H48+I48</f>
        <v>0</v>
      </c>
    </row>
    <row r="49" spans="1:10" ht="13.2" customHeight="1">
      <c r="A49" s="242" t="s">
        <v>65</v>
      </c>
      <c r="B49" s="243"/>
      <c r="C49" s="94"/>
      <c r="D49" s="94"/>
      <c r="E49" s="94"/>
      <c r="F49" s="94"/>
      <c r="G49" s="94"/>
      <c r="H49" s="94"/>
      <c r="I49" s="95"/>
    </row>
    <row r="50" spans="1:10" ht="30.75" customHeight="1">
      <c r="A50" s="296" t="s">
        <v>36</v>
      </c>
      <c r="B50" s="27" t="s">
        <v>37</v>
      </c>
      <c r="C50" s="240" t="s">
        <v>38</v>
      </c>
      <c r="D50" s="241"/>
      <c r="E50" s="27" t="s">
        <v>39</v>
      </c>
      <c r="F50" s="285" t="s">
        <v>142</v>
      </c>
      <c r="G50" s="285"/>
      <c r="H50" s="285"/>
      <c r="I50" s="286"/>
    </row>
    <row r="51" spans="1:10" ht="14.1" customHeight="1">
      <c r="A51" s="297"/>
      <c r="B51" s="27">
        <v>4</v>
      </c>
      <c r="C51" s="240">
        <v>5</v>
      </c>
      <c r="D51" s="241"/>
      <c r="E51" s="27">
        <v>6</v>
      </c>
      <c r="F51" s="258"/>
      <c r="G51" s="259"/>
      <c r="H51" s="259"/>
      <c r="I51" s="260"/>
      <c r="J51" s="142"/>
    </row>
    <row r="52" spans="1:10" ht="14.1" customHeight="1">
      <c r="A52" s="12"/>
      <c r="B52" s="19"/>
      <c r="C52" s="206" t="s">
        <v>54</v>
      </c>
      <c r="D52" s="206"/>
      <c r="E52" s="206"/>
      <c r="F52" s="206"/>
      <c r="G52" s="206"/>
      <c r="H52" s="206"/>
      <c r="I52" s="207"/>
    </row>
    <row r="53" spans="1:10" ht="14.1" customHeight="1">
      <c r="A53" s="204" t="s">
        <v>70</v>
      </c>
      <c r="B53" s="205"/>
      <c r="C53" s="18" t="s">
        <v>55</v>
      </c>
      <c r="D53" s="18" t="s">
        <v>56</v>
      </c>
      <c r="E53" s="18" t="s">
        <v>57</v>
      </c>
      <c r="F53" s="18" t="s">
        <v>58</v>
      </c>
      <c r="G53" s="18" t="s">
        <v>59</v>
      </c>
      <c r="H53" s="18" t="s">
        <v>60</v>
      </c>
      <c r="I53" s="23" t="s">
        <v>61</v>
      </c>
    </row>
    <row r="54" spans="1:10" ht="13.2" customHeight="1">
      <c r="A54" s="107" t="s">
        <v>66</v>
      </c>
      <c r="B54" s="16" t="s">
        <v>71</v>
      </c>
      <c r="C54" s="87">
        <f>C45*24*F51*D3/1000</f>
        <v>0</v>
      </c>
      <c r="D54" s="87">
        <f>D45*24*F51*D3/1000</f>
        <v>0</v>
      </c>
      <c r="E54" s="87">
        <f>E45*24*F51*D3/1000</f>
        <v>0</v>
      </c>
      <c r="F54" s="87">
        <f>F45*24*F51*D3/1000</f>
        <v>0</v>
      </c>
      <c r="G54" s="87">
        <f>G45*24*F51*D3/1000</f>
        <v>0</v>
      </c>
      <c r="H54" s="87">
        <f>H45*24*F51*D3/1000</f>
        <v>0</v>
      </c>
      <c r="I54" s="88">
        <f>I45*24*F51*D3/1000</f>
        <v>0</v>
      </c>
      <c r="J54" s="92">
        <f>C54+D54+E54+F54+G54+H54+I54</f>
        <v>0</v>
      </c>
    </row>
    <row r="55" spans="1:10" ht="13.2" customHeight="1">
      <c r="A55" s="204" t="s">
        <v>67</v>
      </c>
      <c r="B55" s="16" t="s">
        <v>72</v>
      </c>
      <c r="C55" s="80"/>
      <c r="D55" s="80"/>
      <c r="E55" s="80"/>
      <c r="F55" s="80"/>
      <c r="G55" s="80"/>
      <c r="H55" s="80"/>
      <c r="I55" s="91"/>
    </row>
    <row r="56" spans="1:10" ht="13.2" customHeight="1">
      <c r="A56" s="204"/>
      <c r="B56" s="16" t="s">
        <v>73</v>
      </c>
      <c r="C56" s="89">
        <f>C55*C32*D32*F32*E32</f>
        <v>0</v>
      </c>
      <c r="D56" s="89">
        <f>D55*C32*D32*F32*E32</f>
        <v>0</v>
      </c>
      <c r="E56" s="89">
        <f>E55*C32*D32*E32*F32</f>
        <v>0</v>
      </c>
      <c r="F56" s="89">
        <f>F55*C32*D32*F32*E32</f>
        <v>0</v>
      </c>
      <c r="G56" s="89">
        <f>G55*C32*D32*F32*E32</f>
        <v>0</v>
      </c>
      <c r="H56" s="89">
        <f>H55*C32*D32*F32*E32</f>
        <v>0</v>
      </c>
      <c r="I56" s="90">
        <f>I55*C32*D32*F32*E32</f>
        <v>0</v>
      </c>
    </row>
    <row r="57" spans="1:10" ht="13.2" customHeight="1">
      <c r="A57" s="204"/>
      <c r="B57" s="16" t="s">
        <v>74</v>
      </c>
      <c r="C57" s="80"/>
      <c r="D57" s="80"/>
      <c r="E57" s="80"/>
      <c r="F57" s="80"/>
      <c r="G57" s="80"/>
      <c r="H57" s="80"/>
      <c r="I57" s="91"/>
    </row>
    <row r="58" spans="1:10" ht="13.2" customHeight="1">
      <c r="A58" s="204"/>
      <c r="B58" s="16" t="s">
        <v>75</v>
      </c>
      <c r="C58" s="89">
        <f>C57*C33*D33*F33*E33</f>
        <v>0</v>
      </c>
      <c r="D58" s="89">
        <f>D57*C33*D33*F33*E33</f>
        <v>0</v>
      </c>
      <c r="E58" s="89">
        <f>E57*C33*D33*E33*F33</f>
        <v>0</v>
      </c>
      <c r="F58" s="89">
        <f>F57*C33*D33*F33*E33</f>
        <v>0</v>
      </c>
      <c r="G58" s="89">
        <f>G57*C33*D33*F33*E33</f>
        <v>0</v>
      </c>
      <c r="H58" s="89">
        <f>H57*C33*D33*F33*E33</f>
        <v>0</v>
      </c>
      <c r="I58" s="90">
        <f>I57*C33*D33*F33*E33</f>
        <v>0</v>
      </c>
    </row>
    <row r="59" spans="1:10" ht="13.2" customHeight="1">
      <c r="A59" s="204"/>
      <c r="B59" s="16" t="s">
        <v>76</v>
      </c>
      <c r="C59" s="80"/>
      <c r="D59" s="80"/>
      <c r="E59" s="80"/>
      <c r="F59" s="80"/>
      <c r="G59" s="80"/>
      <c r="H59" s="80"/>
      <c r="I59" s="91"/>
    </row>
    <row r="60" spans="1:10" ht="13.2" customHeight="1">
      <c r="A60" s="204"/>
      <c r="B60" s="16" t="s">
        <v>77</v>
      </c>
      <c r="C60" s="89">
        <f>C59*C34*D34*F34*E34</f>
        <v>0</v>
      </c>
      <c r="D60" s="89">
        <f>D59*C34*D34*F34*E34</f>
        <v>0</v>
      </c>
      <c r="E60" s="89">
        <f>E59*C34*D34*E34*F34</f>
        <v>0</v>
      </c>
      <c r="F60" s="89">
        <f>F59*C34*D34*F34*E34</f>
        <v>0</v>
      </c>
      <c r="G60" s="89">
        <f>G59*C34*D34*F34*E34</f>
        <v>0</v>
      </c>
      <c r="H60" s="89">
        <f>H59*C34*D34*F34*E34</f>
        <v>0</v>
      </c>
      <c r="I60" s="90">
        <f>I59*C34*D34*F34*E34</f>
        <v>0</v>
      </c>
    </row>
    <row r="61" spans="1:10" ht="13.2" customHeight="1">
      <c r="A61" s="204"/>
      <c r="B61" s="16" t="s">
        <v>78</v>
      </c>
      <c r="C61" s="80"/>
      <c r="D61" s="80"/>
      <c r="E61" s="80"/>
      <c r="F61" s="80"/>
      <c r="G61" s="80"/>
      <c r="H61" s="80"/>
      <c r="I61" s="91"/>
    </row>
    <row r="62" spans="1:10" ht="13.2" customHeight="1">
      <c r="A62" s="204"/>
      <c r="B62" s="16" t="s">
        <v>79</v>
      </c>
      <c r="C62" s="89">
        <f>C61*C35*D35*F35*E35</f>
        <v>0</v>
      </c>
      <c r="D62" s="89">
        <f>D61*C35*D35*F35*E35</f>
        <v>0</v>
      </c>
      <c r="E62" s="89">
        <f>E61*C35*D35*E35*F35</f>
        <v>0</v>
      </c>
      <c r="F62" s="89">
        <f>F61*C35*D35*F35*E35</f>
        <v>0</v>
      </c>
      <c r="G62" s="89">
        <f>G61*C35*D35*F35*E35</f>
        <v>0</v>
      </c>
      <c r="H62" s="89">
        <f>H61*C35*D35*F35*E35</f>
        <v>0</v>
      </c>
      <c r="I62" s="90">
        <f>I61*C35*D35*F35*E35</f>
        <v>0</v>
      </c>
    </row>
    <row r="63" spans="1:10" ht="13.2" customHeight="1">
      <c r="A63" s="204"/>
      <c r="B63" s="16" t="s">
        <v>80</v>
      </c>
      <c r="C63" s="80"/>
      <c r="D63" s="80"/>
      <c r="E63" s="80"/>
      <c r="F63" s="80"/>
      <c r="G63" s="80"/>
      <c r="H63" s="80"/>
      <c r="I63" s="91"/>
    </row>
    <row r="64" spans="1:10" ht="13.2" customHeight="1">
      <c r="A64" s="204"/>
      <c r="B64" s="16" t="s">
        <v>208</v>
      </c>
      <c r="C64" s="89">
        <f>C63*$C$36*$D$36*$F$36*$E$36</f>
        <v>0</v>
      </c>
      <c r="D64" s="89">
        <f t="shared" ref="D64:I64" si="6">D63*$C$36*$D$36*$F$36*$E$36</f>
        <v>0</v>
      </c>
      <c r="E64" s="89">
        <f t="shared" si="6"/>
        <v>0</v>
      </c>
      <c r="F64" s="89">
        <f t="shared" si="6"/>
        <v>0</v>
      </c>
      <c r="G64" s="89">
        <f>G63*$C$36*$D$36*$F$36*$E$36</f>
        <v>0</v>
      </c>
      <c r="H64" s="89">
        <f t="shared" si="6"/>
        <v>0</v>
      </c>
      <c r="I64" s="140">
        <f t="shared" si="6"/>
        <v>0</v>
      </c>
      <c r="J64" s="142"/>
    </row>
    <row r="65" spans="1:10" ht="13.2" customHeight="1">
      <c r="A65" s="204"/>
      <c r="B65" s="16" t="s">
        <v>209</v>
      </c>
      <c r="C65" s="80"/>
      <c r="D65" s="80"/>
      <c r="E65" s="80"/>
      <c r="F65" s="80"/>
      <c r="G65" s="80"/>
      <c r="H65" s="80"/>
      <c r="I65" s="91"/>
    </row>
    <row r="66" spans="1:10" ht="13.2" customHeight="1">
      <c r="A66" s="204"/>
      <c r="B66" s="16" t="s">
        <v>210</v>
      </c>
      <c r="C66" s="89">
        <f>C65*$C$37*$D$37*$F$37*$E$37</f>
        <v>0</v>
      </c>
      <c r="D66" s="89">
        <f t="shared" ref="D66:H66" si="7">D65*$C$37*$D$37*$F$37*$E$37</f>
        <v>0</v>
      </c>
      <c r="E66" s="89">
        <f t="shared" si="7"/>
        <v>0</v>
      </c>
      <c r="F66" s="89">
        <f t="shared" si="7"/>
        <v>0</v>
      </c>
      <c r="G66" s="89">
        <f t="shared" si="7"/>
        <v>0</v>
      </c>
      <c r="H66" s="89">
        <f t="shared" si="7"/>
        <v>0</v>
      </c>
      <c r="I66" s="140">
        <f>I65*$C$37*$D$37*$F$37*$E$37</f>
        <v>0</v>
      </c>
      <c r="J66" s="142"/>
    </row>
    <row r="67" spans="1:10" ht="13.2" customHeight="1">
      <c r="A67" s="204"/>
      <c r="B67" s="16" t="s">
        <v>215</v>
      </c>
      <c r="C67" s="80"/>
      <c r="D67" s="80"/>
      <c r="E67" s="80"/>
      <c r="F67" s="80"/>
      <c r="G67" s="80"/>
      <c r="H67" s="80"/>
      <c r="I67" s="91"/>
    </row>
    <row r="68" spans="1:10" ht="13.2" customHeight="1">
      <c r="A68" s="204"/>
      <c r="B68" s="16" t="s">
        <v>216</v>
      </c>
      <c r="C68" s="89">
        <f>C67*$C$38*$D$38*$F$38*$E$38</f>
        <v>0</v>
      </c>
      <c r="D68" s="89">
        <f t="shared" ref="D68:I68" si="8">D67*$C$38*$D$38*$F$38*$E$38</f>
        <v>0</v>
      </c>
      <c r="E68" s="89">
        <f t="shared" si="8"/>
        <v>0</v>
      </c>
      <c r="F68" s="89">
        <f t="shared" si="8"/>
        <v>0</v>
      </c>
      <c r="G68" s="89">
        <f>G67*$C$38*$D$38*$F$38*$E$38</f>
        <v>0</v>
      </c>
      <c r="H68" s="89">
        <f t="shared" si="8"/>
        <v>0</v>
      </c>
      <c r="I68" s="90">
        <f t="shared" si="8"/>
        <v>0</v>
      </c>
    </row>
    <row r="69" spans="1:10" ht="13.2" customHeight="1">
      <c r="A69" s="204"/>
      <c r="B69" s="16" t="s">
        <v>217</v>
      </c>
      <c r="C69" s="80"/>
      <c r="D69" s="80"/>
      <c r="E69" s="80"/>
      <c r="F69" s="80"/>
      <c r="G69" s="80"/>
      <c r="H69" s="80"/>
      <c r="I69" s="91"/>
    </row>
    <row r="70" spans="1:10" ht="13.2" customHeight="1">
      <c r="A70" s="204"/>
      <c r="B70" s="16" t="s">
        <v>218</v>
      </c>
      <c r="C70" s="89">
        <f>C69*$C$39*$D$39*$F$39*$E$39</f>
        <v>0</v>
      </c>
      <c r="D70" s="89">
        <f t="shared" ref="D70:I70" si="9">D69*$C$39*$D$39*$F$39*$E$39</f>
        <v>0</v>
      </c>
      <c r="E70" s="89">
        <f t="shared" si="9"/>
        <v>0</v>
      </c>
      <c r="F70" s="89">
        <f t="shared" si="9"/>
        <v>0</v>
      </c>
      <c r="G70" s="89">
        <f>G69*$C$39*$D$39*$F$39*$E$39</f>
        <v>0</v>
      </c>
      <c r="H70" s="89">
        <f t="shared" si="9"/>
        <v>0</v>
      </c>
      <c r="I70" s="90">
        <f t="shared" si="9"/>
        <v>0</v>
      </c>
    </row>
    <row r="71" spans="1:10" ht="13.2" customHeight="1">
      <c r="A71" s="204"/>
      <c r="B71" s="16" t="s">
        <v>81</v>
      </c>
      <c r="C71" s="80"/>
      <c r="D71" s="80"/>
      <c r="E71" s="80"/>
      <c r="F71" s="80"/>
      <c r="G71" s="80"/>
      <c r="H71" s="80"/>
      <c r="I71" s="91"/>
    </row>
    <row r="72" spans="1:10" ht="13.2" customHeight="1">
      <c r="A72" s="204"/>
      <c r="B72" s="16" t="s">
        <v>82</v>
      </c>
      <c r="C72" s="89">
        <f>C71*C40*D40*F40*E40</f>
        <v>0</v>
      </c>
      <c r="D72" s="89">
        <f>D71*C40*D40*F40*E40</f>
        <v>0</v>
      </c>
      <c r="E72" s="89">
        <f>E71*C40*D40*E40*F40</f>
        <v>0</v>
      </c>
      <c r="F72" s="89">
        <f>F71*C40*D40*F40*E40</f>
        <v>0</v>
      </c>
      <c r="G72" s="89">
        <f>G71*C40*D40*F40*E40</f>
        <v>0</v>
      </c>
      <c r="H72" s="89">
        <f>H71*C40*D40*F40*E40</f>
        <v>0</v>
      </c>
      <c r="I72" s="90">
        <f>I71*C40*D40*F40*E40</f>
        <v>0</v>
      </c>
    </row>
    <row r="73" spans="1:10" ht="13.2" customHeight="1">
      <c r="A73" s="204"/>
      <c r="B73" s="16" t="s">
        <v>83</v>
      </c>
      <c r="C73" s="87">
        <f>SUM(C56,C58,C60,C62,C64,C66,C68,C70,C72)</f>
        <v>0</v>
      </c>
      <c r="D73" s="87">
        <f t="shared" ref="D73:I73" si="10">SUM(D56,D58,D60,D62,D64,D66,D68,D70,D72)</f>
        <v>0</v>
      </c>
      <c r="E73" s="87">
        <f t="shared" si="10"/>
        <v>0</v>
      </c>
      <c r="F73" s="87">
        <f t="shared" si="10"/>
        <v>0</v>
      </c>
      <c r="G73" s="87">
        <f t="shared" si="10"/>
        <v>0</v>
      </c>
      <c r="H73" s="87">
        <f>SUM(H56,H58,H60,H62,H64,H66,H68,H70,H72)</f>
        <v>0</v>
      </c>
      <c r="I73" s="88">
        <f t="shared" si="10"/>
        <v>0</v>
      </c>
      <c r="J73" s="92">
        <f>C73+D73+E73+F73+G73+H73+I73</f>
        <v>0</v>
      </c>
    </row>
    <row r="74" spans="1:10" ht="13.2" customHeight="1">
      <c r="A74" s="107" t="s">
        <v>68</v>
      </c>
      <c r="B74" s="20" t="s">
        <v>84</v>
      </c>
      <c r="C74" s="87">
        <f t="shared" ref="C74:I74" si="11">C54+C73</f>
        <v>0</v>
      </c>
      <c r="D74" s="87">
        <f t="shared" si="11"/>
        <v>0</v>
      </c>
      <c r="E74" s="87">
        <f t="shared" si="11"/>
        <v>0</v>
      </c>
      <c r="F74" s="87">
        <f t="shared" si="11"/>
        <v>0</v>
      </c>
      <c r="G74" s="87">
        <f t="shared" si="11"/>
        <v>0</v>
      </c>
      <c r="H74" s="87">
        <f t="shared" si="11"/>
        <v>0</v>
      </c>
      <c r="I74" s="88">
        <f t="shared" si="11"/>
        <v>0</v>
      </c>
      <c r="J74" s="92">
        <f>C74+D74+E74+F74+G74+H74+I74</f>
        <v>0</v>
      </c>
    </row>
    <row r="75" spans="1:10" ht="13.2" customHeight="1">
      <c r="A75" s="14"/>
      <c r="B75" s="17"/>
      <c r="C75" s="31"/>
      <c r="D75" s="31"/>
      <c r="E75" s="31"/>
      <c r="F75" s="31"/>
      <c r="G75" s="31"/>
      <c r="H75" s="31"/>
      <c r="I75" s="10"/>
    </row>
    <row r="76" spans="1:10" ht="13.2" customHeight="1">
      <c r="A76" s="108" t="s">
        <v>69</v>
      </c>
      <c r="B76" s="109"/>
      <c r="C76" s="31"/>
      <c r="D76" s="31"/>
      <c r="E76" s="31"/>
      <c r="F76" s="31"/>
      <c r="G76" s="31"/>
      <c r="H76" s="31"/>
      <c r="I76" s="110"/>
    </row>
    <row r="77" spans="1:10" ht="13.2" customHeight="1">
      <c r="A77" s="35" t="s">
        <v>166</v>
      </c>
      <c r="B77" s="113" t="s">
        <v>100</v>
      </c>
      <c r="C77" s="89" t="e">
        <f>C74/C48</f>
        <v>#DIV/0!</v>
      </c>
      <c r="D77" s="89" t="e">
        <f t="shared" ref="D77:I77" si="12">D74/D48</f>
        <v>#DIV/0!</v>
      </c>
      <c r="E77" s="89" t="e">
        <f t="shared" si="12"/>
        <v>#DIV/0!</v>
      </c>
      <c r="F77" s="89" t="e">
        <f t="shared" si="12"/>
        <v>#DIV/0!</v>
      </c>
      <c r="G77" s="89" t="e">
        <f t="shared" si="12"/>
        <v>#DIV/0!</v>
      </c>
      <c r="H77" s="89" t="e">
        <f t="shared" si="12"/>
        <v>#DIV/0!</v>
      </c>
      <c r="I77" s="90" t="e">
        <f t="shared" si="12"/>
        <v>#DIV/0!</v>
      </c>
    </row>
    <row r="78" spans="1:10" ht="13.2" customHeight="1">
      <c r="A78" s="114" t="s">
        <v>94</v>
      </c>
      <c r="B78" s="113" t="s">
        <v>155</v>
      </c>
      <c r="C78" s="18">
        <f>VLOOKUP($A$78,'Trieda budovy'!$A$6:$D$10,4,FALSE)</f>
        <v>0</v>
      </c>
      <c r="D78" s="18">
        <f>VLOOKUP($A$78,'Trieda budovy'!$A$6:$D$10,4,FALSE)</f>
        <v>0</v>
      </c>
      <c r="E78" s="18">
        <f>VLOOKUP($A$78,'Trieda budovy'!$A$6:$D$10,4,FALSE)</f>
        <v>0</v>
      </c>
      <c r="F78" s="18">
        <f>VLOOKUP($A$78,'Trieda budovy'!$A$6:$D$10,4,FALSE)</f>
        <v>0</v>
      </c>
      <c r="G78" s="18">
        <f>VLOOKUP($A$78,'Trieda budovy'!$A$6:$D$10,4,FALSE)</f>
        <v>0</v>
      </c>
      <c r="H78" s="18">
        <f>VLOOKUP($A$78,'Trieda budovy'!$A$6:$D$10,4,FALSE)</f>
        <v>0</v>
      </c>
      <c r="I78" s="23">
        <f>VLOOKUP($A$78,'Trieda budovy'!$A$6:$D$10,4,FALSE)</f>
        <v>0</v>
      </c>
    </row>
    <row r="79" spans="1:10" ht="13.2" customHeight="1">
      <c r="A79" s="35"/>
      <c r="B79" s="113" t="s">
        <v>158</v>
      </c>
      <c r="C79" s="89" t="e">
        <f>(C78/3.6)/$G$30</f>
        <v>#DIV/0!</v>
      </c>
      <c r="D79" s="89" t="e">
        <f t="shared" ref="D79:I79" si="13">(D78/3.6)/$G$30</f>
        <v>#DIV/0!</v>
      </c>
      <c r="E79" s="89" t="e">
        <f t="shared" si="13"/>
        <v>#DIV/0!</v>
      </c>
      <c r="F79" s="89" t="e">
        <f t="shared" si="13"/>
        <v>#DIV/0!</v>
      </c>
      <c r="G79" s="89" t="e">
        <f t="shared" si="13"/>
        <v>#DIV/0!</v>
      </c>
      <c r="H79" s="89" t="e">
        <f t="shared" si="13"/>
        <v>#DIV/0!</v>
      </c>
      <c r="I79" s="90" t="e">
        <f t="shared" si="13"/>
        <v>#DIV/0!</v>
      </c>
    </row>
    <row r="80" spans="1:10" ht="13.2" customHeight="1">
      <c r="A80" s="35"/>
      <c r="B80" s="113" t="s">
        <v>101</v>
      </c>
      <c r="C80" s="80">
        <v>1</v>
      </c>
      <c r="D80" s="80">
        <v>1</v>
      </c>
      <c r="E80" s="80">
        <v>1</v>
      </c>
      <c r="F80" s="80">
        <v>1</v>
      </c>
      <c r="G80" s="80">
        <v>1</v>
      </c>
      <c r="H80" s="80">
        <v>1</v>
      </c>
      <c r="I80" s="91">
        <v>1</v>
      </c>
    </row>
    <row r="81" spans="1:20" ht="13.2" customHeight="1">
      <c r="A81" s="35"/>
      <c r="B81" s="113" t="s">
        <v>102</v>
      </c>
      <c r="C81" s="80">
        <v>15</v>
      </c>
      <c r="D81" s="80">
        <v>15</v>
      </c>
      <c r="E81" s="80">
        <v>15</v>
      </c>
      <c r="F81" s="80">
        <v>15</v>
      </c>
      <c r="G81" s="80">
        <v>15</v>
      </c>
      <c r="H81" s="80">
        <v>15</v>
      </c>
      <c r="I81" s="91">
        <v>15</v>
      </c>
    </row>
    <row r="82" spans="1:20" ht="13.2" customHeight="1">
      <c r="A82" s="35"/>
      <c r="B82" s="113" t="s">
        <v>103</v>
      </c>
      <c r="C82" s="89" t="e">
        <f>C80+C79/C81</f>
        <v>#DIV/0!</v>
      </c>
      <c r="D82" s="89" t="e">
        <f t="shared" ref="D82:I82" si="14">D80+D79/D81</f>
        <v>#DIV/0!</v>
      </c>
      <c r="E82" s="89" t="e">
        <f t="shared" si="14"/>
        <v>#DIV/0!</v>
      </c>
      <c r="F82" s="89" t="e">
        <f t="shared" si="14"/>
        <v>#DIV/0!</v>
      </c>
      <c r="G82" s="89" t="e">
        <f t="shared" si="14"/>
        <v>#DIV/0!</v>
      </c>
      <c r="H82" s="89" t="e">
        <f t="shared" si="14"/>
        <v>#DIV/0!</v>
      </c>
      <c r="I82" s="90" t="e">
        <f t="shared" si="14"/>
        <v>#DIV/0!</v>
      </c>
    </row>
    <row r="83" spans="1:20" ht="13.2" customHeight="1">
      <c r="A83" s="35"/>
      <c r="B83" s="25" t="s">
        <v>99</v>
      </c>
      <c r="C83" s="93" t="e">
        <f>(1-POWER(C77,C82))/(1-POWER(C77,C82+1))</f>
        <v>#DIV/0!</v>
      </c>
      <c r="D83" s="93" t="e">
        <f t="shared" ref="D83:I83" si="15">(1-POWER(D77,D82))/(1-POWER(D77,D82+1))</f>
        <v>#DIV/0!</v>
      </c>
      <c r="E83" s="93" t="e">
        <f t="shared" si="15"/>
        <v>#DIV/0!</v>
      </c>
      <c r="F83" s="93" t="e">
        <f t="shared" si="15"/>
        <v>#DIV/0!</v>
      </c>
      <c r="G83" s="93" t="e">
        <f t="shared" si="15"/>
        <v>#DIV/0!</v>
      </c>
      <c r="H83" s="93" t="e">
        <f t="shared" si="15"/>
        <v>#DIV/0!</v>
      </c>
      <c r="I83" s="145" t="e">
        <f t="shared" si="15"/>
        <v>#DIV/0!</v>
      </c>
      <c r="J83" s="144" t="e">
        <f>(C83+D83+E83+F83+G83+H83+I83)/7</f>
        <v>#DIV/0!</v>
      </c>
    </row>
    <row r="84" spans="1:20" ht="13.2" customHeight="1">
      <c r="A84" s="35"/>
      <c r="B84" s="17"/>
      <c r="C84" s="22"/>
      <c r="D84" s="22"/>
      <c r="E84" s="22"/>
      <c r="F84" s="22"/>
      <c r="G84" s="22"/>
      <c r="H84" s="22"/>
      <c r="I84" s="24"/>
    </row>
    <row r="85" spans="1:20" ht="18.75" customHeight="1">
      <c r="A85" s="282" t="s">
        <v>148</v>
      </c>
      <c r="B85" s="283"/>
      <c r="C85" s="87" t="e">
        <f t="shared" ref="C85:I85" si="16">C48-C83*C74</f>
        <v>#DIV/0!</v>
      </c>
      <c r="D85" s="87" t="e">
        <f t="shared" si="16"/>
        <v>#DIV/0!</v>
      </c>
      <c r="E85" s="87" t="e">
        <f t="shared" si="16"/>
        <v>#DIV/0!</v>
      </c>
      <c r="F85" s="87" t="e">
        <f t="shared" si="16"/>
        <v>#DIV/0!</v>
      </c>
      <c r="G85" s="87" t="e">
        <f t="shared" si="16"/>
        <v>#DIV/0!</v>
      </c>
      <c r="H85" s="87" t="e">
        <f t="shared" si="16"/>
        <v>#DIV/0!</v>
      </c>
      <c r="I85" s="88" t="e">
        <f t="shared" si="16"/>
        <v>#DIV/0!</v>
      </c>
      <c r="K85" s="36"/>
    </row>
    <row r="86" spans="1:20" ht="18.75" customHeight="1">
      <c r="A86" s="282"/>
      <c r="B86" s="283"/>
      <c r="C86" s="280" t="e">
        <f>C85+D85+E85+F85+G85+H85+I85</f>
        <v>#DIV/0!</v>
      </c>
      <c r="D86" s="280"/>
      <c r="E86" s="280"/>
      <c r="F86" s="280"/>
      <c r="G86" s="280"/>
      <c r="H86" s="280"/>
      <c r="I86" s="281"/>
      <c r="K86" s="36"/>
    </row>
    <row r="87" spans="1:20" ht="14.1" customHeight="1">
      <c r="A87" s="295" t="s">
        <v>149</v>
      </c>
      <c r="B87" s="295"/>
      <c r="C87" s="295"/>
      <c r="D87" s="295"/>
      <c r="E87" s="295"/>
      <c r="F87" s="224" t="s">
        <v>126</v>
      </c>
      <c r="G87" s="289" t="e">
        <f>C86/D3</f>
        <v>#DIV/0!</v>
      </c>
      <c r="H87" s="290"/>
      <c r="I87" s="291"/>
      <c r="S87" s="42"/>
      <c r="T87" s="42"/>
    </row>
    <row r="88" spans="1:20" ht="14.1" customHeight="1">
      <c r="A88" s="288" t="s">
        <v>143</v>
      </c>
      <c r="B88" s="288"/>
      <c r="C88" s="288"/>
      <c r="D88" s="288"/>
      <c r="E88" s="288"/>
      <c r="F88" s="224"/>
      <c r="G88" s="292"/>
      <c r="H88" s="293"/>
      <c r="I88" s="294"/>
      <c r="S88" s="42"/>
      <c r="T88" s="42"/>
    </row>
    <row r="89" spans="1:20" ht="14.1" customHeight="1">
      <c r="A89" s="287" t="s">
        <v>150</v>
      </c>
      <c r="B89" s="287"/>
      <c r="C89" s="287"/>
      <c r="D89" s="287"/>
      <c r="E89" s="287"/>
      <c r="F89" s="224" t="s">
        <v>127</v>
      </c>
      <c r="G89" s="289" t="e">
        <f>C86/B3</f>
        <v>#DIV/0!</v>
      </c>
      <c r="H89" s="290"/>
      <c r="I89" s="291"/>
      <c r="S89" s="42"/>
      <c r="T89" s="42"/>
    </row>
    <row r="90" spans="1:20" ht="14.1" customHeight="1">
      <c r="A90" s="288" t="s">
        <v>144</v>
      </c>
      <c r="B90" s="288"/>
      <c r="C90" s="288"/>
      <c r="D90" s="288"/>
      <c r="E90" s="288"/>
      <c r="F90" s="224"/>
      <c r="G90" s="292"/>
      <c r="H90" s="293"/>
      <c r="I90" s="294"/>
      <c r="S90" s="42"/>
      <c r="T90" s="42"/>
    </row>
    <row r="91" spans="1:20" ht="14.1" customHeight="1">
      <c r="A91" s="238" t="s">
        <v>40</v>
      </c>
      <c r="B91" s="239"/>
      <c r="C91" s="28"/>
      <c r="D91" s="28"/>
      <c r="E91" s="29"/>
      <c r="F91" s="41" t="s">
        <v>41</v>
      </c>
      <c r="G91" s="201" t="e">
        <f>D16/B3</f>
        <v>#DIV/0!</v>
      </c>
      <c r="H91" s="202"/>
      <c r="I91" s="203"/>
      <c r="S91" s="26"/>
      <c r="T91" s="26"/>
    </row>
    <row r="92" spans="1:20" ht="14.1" customHeight="1">
      <c r="A92" s="238" t="s">
        <v>42</v>
      </c>
      <c r="B92" s="239"/>
      <c r="C92" s="32"/>
      <c r="D92" s="25"/>
      <c r="E92" s="25"/>
      <c r="F92" s="32"/>
      <c r="G92" s="26"/>
      <c r="H92" s="26"/>
      <c r="I92" s="13"/>
      <c r="S92" s="26"/>
      <c r="T92" s="26"/>
    </row>
    <row r="93" spans="1:20" ht="15.75" customHeight="1">
      <c r="A93" s="187" t="s">
        <v>121</v>
      </c>
      <c r="B93" s="187"/>
      <c r="C93" s="187"/>
      <c r="D93" s="187"/>
      <c r="E93" s="188" t="s">
        <v>117</v>
      </c>
      <c r="F93" s="188"/>
      <c r="G93" s="188"/>
      <c r="H93" s="27" t="s">
        <v>118</v>
      </c>
      <c r="I93" s="30" t="s">
        <v>119</v>
      </c>
      <c r="S93" s="26"/>
      <c r="T93" s="26"/>
    </row>
    <row r="94" spans="1:20" ht="15.75" customHeight="1">
      <c r="A94" s="187"/>
      <c r="B94" s="187"/>
      <c r="C94" s="187"/>
      <c r="D94" s="187"/>
      <c r="E94" s="188" t="s">
        <v>123</v>
      </c>
      <c r="F94" s="188"/>
      <c r="G94" s="188"/>
      <c r="H94" s="27">
        <v>0</v>
      </c>
      <c r="I94" s="30">
        <v>0</v>
      </c>
      <c r="P94" s="26"/>
      <c r="Q94" s="26"/>
      <c r="R94" s="26"/>
      <c r="S94" s="26"/>
      <c r="T94" s="26"/>
    </row>
    <row r="95" spans="1:20" ht="14.1" customHeight="1">
      <c r="A95" s="186" t="s">
        <v>122</v>
      </c>
      <c r="B95" s="187"/>
      <c r="C95" s="187"/>
      <c r="D95" s="187"/>
      <c r="E95" s="188" t="s">
        <v>117</v>
      </c>
      <c r="F95" s="188"/>
      <c r="G95" s="188"/>
      <c r="H95" s="27" t="s">
        <v>119</v>
      </c>
      <c r="I95" s="110" t="s">
        <v>252</v>
      </c>
      <c r="P95" s="26"/>
      <c r="Q95" s="26"/>
      <c r="R95" s="26"/>
      <c r="S95" s="26"/>
      <c r="T95" s="26"/>
    </row>
    <row r="96" spans="1:20" ht="14.1" customHeight="1">
      <c r="A96" s="186"/>
      <c r="B96" s="187"/>
      <c r="C96" s="187"/>
      <c r="D96" s="187"/>
      <c r="E96" s="188" t="s">
        <v>124</v>
      </c>
      <c r="F96" s="188"/>
      <c r="G96" s="188"/>
      <c r="H96" s="89">
        <v>0</v>
      </c>
      <c r="I96" s="161">
        <v>0</v>
      </c>
      <c r="P96" s="26"/>
      <c r="Q96" s="26"/>
      <c r="R96" s="26"/>
      <c r="S96" s="26"/>
      <c r="T96" s="26"/>
    </row>
    <row r="97" spans="1:20" ht="14.1" customHeight="1">
      <c r="A97" s="186"/>
      <c r="B97" s="187"/>
      <c r="C97" s="187"/>
      <c r="D97" s="187"/>
      <c r="E97" s="188" t="s">
        <v>117</v>
      </c>
      <c r="F97" s="188"/>
      <c r="G97" s="188"/>
      <c r="H97" s="27" t="s">
        <v>119</v>
      </c>
      <c r="I97" s="110" t="s">
        <v>252</v>
      </c>
      <c r="P97" s="26"/>
      <c r="Q97" s="26"/>
      <c r="R97" s="26"/>
      <c r="S97" s="26"/>
      <c r="T97" s="26"/>
    </row>
    <row r="98" spans="1:20" ht="14.1" customHeight="1">
      <c r="A98" s="186"/>
      <c r="B98" s="187"/>
      <c r="C98" s="187"/>
      <c r="D98" s="187"/>
      <c r="E98" s="188" t="s">
        <v>125</v>
      </c>
      <c r="F98" s="188"/>
      <c r="G98" s="188"/>
      <c r="H98" s="89">
        <v>0</v>
      </c>
      <c r="I98" s="90">
        <v>0</v>
      </c>
      <c r="P98" s="26"/>
      <c r="Q98" s="43"/>
      <c r="R98" s="26"/>
      <c r="S98" s="26"/>
      <c r="T98" s="26"/>
    </row>
    <row r="99" spans="1:20" ht="16.2" customHeight="1">
      <c r="A99" s="186"/>
      <c r="B99" s="187"/>
      <c r="C99" s="187"/>
      <c r="D99" s="187"/>
      <c r="E99" s="188" t="s">
        <v>117</v>
      </c>
      <c r="F99" s="188"/>
      <c r="G99" s="188"/>
      <c r="H99" s="27" t="s">
        <v>119</v>
      </c>
      <c r="I99" s="110" t="s">
        <v>252</v>
      </c>
      <c r="P99" s="26"/>
      <c r="Q99" s="43"/>
      <c r="R99" s="26"/>
      <c r="S99" s="26"/>
      <c r="T99" s="26"/>
    </row>
    <row r="100" spans="1:20" ht="16.2" customHeight="1">
      <c r="A100" s="186"/>
      <c r="B100" s="187"/>
      <c r="C100" s="187"/>
      <c r="D100" s="187"/>
      <c r="E100" s="174" t="s">
        <v>253</v>
      </c>
      <c r="F100" s="200"/>
      <c r="G100" s="200"/>
      <c r="H100" s="89">
        <v>0</v>
      </c>
      <c r="I100" s="90">
        <v>0</v>
      </c>
      <c r="J100" s="142"/>
      <c r="P100" s="26"/>
      <c r="Q100" s="43"/>
      <c r="R100" s="26"/>
      <c r="S100" s="26"/>
      <c r="T100" s="26"/>
    </row>
    <row r="101" spans="1:20" ht="15.75" customHeight="1">
      <c r="A101" s="184" t="s">
        <v>141</v>
      </c>
      <c r="B101" s="185"/>
      <c r="C101" s="21"/>
      <c r="D101" s="39"/>
      <c r="E101" s="40"/>
      <c r="F101" s="40"/>
      <c r="G101" s="189" t="s">
        <v>152</v>
      </c>
      <c r="H101" s="190"/>
      <c r="I101" s="11"/>
      <c r="J101" s="142"/>
      <c r="P101" s="26"/>
      <c r="Q101" s="43"/>
      <c r="R101" s="26"/>
      <c r="S101" s="26"/>
      <c r="T101" s="26"/>
    </row>
    <row r="102" spans="1:20" ht="27" customHeight="1">
      <c r="A102" s="186" t="s">
        <v>138</v>
      </c>
      <c r="B102" s="187"/>
      <c r="C102" s="21" t="s">
        <v>120</v>
      </c>
      <c r="D102" s="27" t="s">
        <v>145</v>
      </c>
      <c r="E102" s="174" t="s">
        <v>2</v>
      </c>
      <c r="F102" s="175"/>
      <c r="G102" s="176" t="e">
        <f>IF(G87&lt;H94,"ÁNO","NIE")</f>
        <v>#DIV/0!</v>
      </c>
      <c r="H102" s="177"/>
      <c r="I102" s="167"/>
      <c r="J102" s="142"/>
    </row>
    <row r="103" spans="1:20" ht="26.25" customHeight="1">
      <c r="A103" s="170" t="s">
        <v>256</v>
      </c>
      <c r="B103" s="171"/>
      <c r="C103" s="27" t="s">
        <v>128</v>
      </c>
      <c r="D103" s="27" t="s">
        <v>145</v>
      </c>
      <c r="E103" s="174" t="s">
        <v>2</v>
      </c>
      <c r="F103" s="175"/>
      <c r="G103" s="176" t="e">
        <f>IF(G87&lt;H96,"ÁNO","NIE")</f>
        <v>#DIV/0!</v>
      </c>
      <c r="H103" s="177"/>
      <c r="I103" s="168"/>
      <c r="J103" s="142"/>
    </row>
    <row r="104" spans="1:20" ht="26.25" customHeight="1">
      <c r="A104" s="172"/>
      <c r="B104" s="173"/>
      <c r="C104" s="27" t="s">
        <v>129</v>
      </c>
      <c r="D104" s="27" t="s">
        <v>145</v>
      </c>
      <c r="E104" s="174" t="s">
        <v>2</v>
      </c>
      <c r="F104" s="175"/>
      <c r="G104" s="176" t="e">
        <f>IF(G89&lt;H98,"ÁNO","NIE")</f>
        <v>#DIV/0!</v>
      </c>
      <c r="H104" s="177"/>
      <c r="I104" s="168"/>
    </row>
    <row r="105" spans="1:20" ht="33.6" customHeight="1" thickBot="1">
      <c r="A105" s="178" t="s">
        <v>139</v>
      </c>
      <c r="B105" s="179"/>
      <c r="C105" s="146" t="s">
        <v>140</v>
      </c>
      <c r="D105" s="147" t="s">
        <v>146</v>
      </c>
      <c r="E105" s="180" t="s">
        <v>2</v>
      </c>
      <c r="F105" s="181"/>
      <c r="G105" s="182" t="e">
        <f>IF(H26&lt;H100,"ÁNO","NIE")</f>
        <v>#DIV/0!</v>
      </c>
      <c r="H105" s="183"/>
      <c r="I105" s="169"/>
      <c r="J105" s="61"/>
      <c r="K105" s="61"/>
      <c r="L105" s="61"/>
      <c r="M105" s="61"/>
      <c r="N105" s="61"/>
    </row>
    <row r="106" spans="1:20" ht="24" customHeight="1">
      <c r="F106" s="61"/>
      <c r="G106" s="61"/>
      <c r="H106" s="61"/>
      <c r="I106" s="61"/>
      <c r="J106" s="61"/>
      <c r="K106" s="61"/>
      <c r="L106" s="61"/>
      <c r="M106" s="61"/>
      <c r="N106" s="61"/>
    </row>
    <row r="107" spans="1:20" ht="37.5" customHeight="1">
      <c r="F107" s="61"/>
      <c r="G107" s="61"/>
      <c r="H107" s="61"/>
      <c r="I107" s="61"/>
      <c r="J107" s="61"/>
      <c r="K107" s="61"/>
      <c r="L107" s="61"/>
      <c r="M107" s="61"/>
      <c r="N107" s="61"/>
    </row>
    <row r="108" spans="1:20" ht="10.199999999999999" customHeight="1">
      <c r="F108" s="61"/>
      <c r="G108" s="61"/>
      <c r="H108" s="61"/>
      <c r="I108" s="61"/>
      <c r="J108" s="61"/>
      <c r="K108" s="61"/>
      <c r="L108" s="61"/>
      <c r="M108" s="61"/>
      <c r="N108" s="61"/>
    </row>
    <row r="109" spans="1:20" ht="25.5" customHeight="1">
      <c r="F109" s="61"/>
      <c r="G109" s="61"/>
      <c r="H109" s="61"/>
      <c r="I109" s="61"/>
      <c r="J109" s="61"/>
      <c r="K109" s="61"/>
      <c r="L109" s="61"/>
      <c r="M109" s="61"/>
      <c r="N109" s="61"/>
    </row>
    <row r="110" spans="1:20" ht="12" customHeight="1">
      <c r="F110" s="61"/>
      <c r="G110" s="61"/>
      <c r="H110" s="61"/>
      <c r="I110" s="61"/>
      <c r="J110" s="61"/>
      <c r="K110" s="61"/>
      <c r="L110" s="61"/>
      <c r="M110" s="61"/>
      <c r="N110" s="61"/>
    </row>
    <row r="111" spans="1:20" ht="30" customHeight="1">
      <c r="F111" s="61"/>
      <c r="G111" s="61"/>
      <c r="H111" s="61"/>
      <c r="I111" s="61"/>
      <c r="J111" s="61"/>
      <c r="K111" s="61"/>
      <c r="L111" s="61"/>
      <c r="M111" s="61"/>
      <c r="N111" s="61"/>
    </row>
    <row r="112" spans="1:20" ht="15.75" customHeight="1">
      <c r="F112" s="61"/>
      <c r="G112" s="61"/>
      <c r="H112" s="61"/>
      <c r="I112" s="61"/>
      <c r="J112" s="61"/>
      <c r="K112" s="61"/>
      <c r="L112" s="61"/>
      <c r="M112" s="61"/>
      <c r="N112" s="61"/>
    </row>
    <row r="113" spans="6:14" ht="37.5" customHeight="1">
      <c r="F113" s="61"/>
      <c r="G113" s="61"/>
      <c r="H113" s="61"/>
      <c r="I113" s="61"/>
      <c r="J113" s="61"/>
      <c r="K113" s="61"/>
      <c r="L113" s="61"/>
      <c r="M113" s="61"/>
      <c r="N113" s="61"/>
    </row>
    <row r="114" spans="6:14" ht="17.25" customHeight="1">
      <c r="F114" s="61"/>
      <c r="G114" s="61"/>
      <c r="H114" s="61"/>
      <c r="I114" s="61"/>
      <c r="J114" s="61"/>
      <c r="K114" s="61"/>
      <c r="L114" s="61"/>
      <c r="M114" s="61"/>
      <c r="N114" s="61"/>
    </row>
    <row r="115" spans="6:14" ht="17.25" customHeight="1">
      <c r="F115" s="61"/>
      <c r="G115" s="61"/>
      <c r="H115" s="61"/>
      <c r="I115" s="61"/>
      <c r="J115" s="61"/>
      <c r="K115" s="61"/>
      <c r="L115" s="61"/>
      <c r="M115" s="61"/>
      <c r="N115" s="61"/>
    </row>
    <row r="116" spans="6:14" ht="10.199999999999999" customHeight="1">
      <c r="F116" s="61"/>
      <c r="G116" s="61"/>
      <c r="H116" s="61"/>
      <c r="I116" s="61"/>
      <c r="J116" s="61"/>
      <c r="K116" s="61"/>
      <c r="L116" s="61"/>
      <c r="M116" s="61"/>
      <c r="N116" s="61"/>
    </row>
  </sheetData>
  <mergeCells count="96">
    <mergeCell ref="C86:I86"/>
    <mergeCell ref="A85:B86"/>
    <mergeCell ref="A92:B92"/>
    <mergeCell ref="F89:F90"/>
    <mergeCell ref="C43:I43"/>
    <mergeCell ref="A49:B49"/>
    <mergeCell ref="F50:I50"/>
    <mergeCell ref="A89:E89"/>
    <mergeCell ref="A90:E90"/>
    <mergeCell ref="G89:I90"/>
    <mergeCell ref="A91:B91"/>
    <mergeCell ref="A87:E87"/>
    <mergeCell ref="A88:E88"/>
    <mergeCell ref="F87:F88"/>
    <mergeCell ref="G87:I88"/>
    <mergeCell ref="A50:A51"/>
    <mergeCell ref="A43:A48"/>
    <mergeCell ref="C50:D50"/>
    <mergeCell ref="G30:H30"/>
    <mergeCell ref="G27:H29"/>
    <mergeCell ref="B43:B44"/>
    <mergeCell ref="C27:D29"/>
    <mergeCell ref="C1:I1"/>
    <mergeCell ref="A27:B27"/>
    <mergeCell ref="A30:B30"/>
    <mergeCell ref="C51:D51"/>
    <mergeCell ref="A42:D42"/>
    <mergeCell ref="E24:G24"/>
    <mergeCell ref="E25:G25"/>
    <mergeCell ref="E26:G26"/>
    <mergeCell ref="I19:I23"/>
    <mergeCell ref="A20:B23"/>
    <mergeCell ref="E20:H20"/>
    <mergeCell ref="E21:H21"/>
    <mergeCell ref="E22:H22"/>
    <mergeCell ref="E23:H23"/>
    <mergeCell ref="F51:I51"/>
    <mergeCell ref="E19:H19"/>
    <mergeCell ref="A2:B2"/>
    <mergeCell ref="C2:D2"/>
    <mergeCell ref="A11:B11"/>
    <mergeCell ref="A13:B13"/>
    <mergeCell ref="A6:B6"/>
    <mergeCell ref="A7:B7"/>
    <mergeCell ref="A12:B12"/>
    <mergeCell ref="A10:B10"/>
    <mergeCell ref="C4:E4"/>
    <mergeCell ref="H2:I2"/>
    <mergeCell ref="H3:I3"/>
    <mergeCell ref="A8:B8"/>
    <mergeCell ref="A9:B9"/>
    <mergeCell ref="P31:AC32"/>
    <mergeCell ref="P2:Z3"/>
    <mergeCell ref="A14:B14"/>
    <mergeCell ref="A15:B15"/>
    <mergeCell ref="A31:B31"/>
    <mergeCell ref="C30:F30"/>
    <mergeCell ref="E27:E28"/>
    <mergeCell ref="F27:F29"/>
    <mergeCell ref="A24:D24"/>
    <mergeCell ref="A25:D25"/>
    <mergeCell ref="A26:D26"/>
    <mergeCell ref="E12:E14"/>
    <mergeCell ref="A16:B16"/>
    <mergeCell ref="G31:H31"/>
    <mergeCell ref="A17:B18"/>
    <mergeCell ref="A19:B19"/>
    <mergeCell ref="A95:D100"/>
    <mergeCell ref="E99:G99"/>
    <mergeCell ref="E100:G100"/>
    <mergeCell ref="G91:I91"/>
    <mergeCell ref="E93:G93"/>
    <mergeCell ref="E94:G94"/>
    <mergeCell ref="A93:D94"/>
    <mergeCell ref="E95:G95"/>
    <mergeCell ref="A53:B53"/>
    <mergeCell ref="A55:A73"/>
    <mergeCell ref="C52:I52"/>
    <mergeCell ref="I27:I30"/>
    <mergeCell ref="A101:B101"/>
    <mergeCell ref="A102:B102"/>
    <mergeCell ref="E96:G96"/>
    <mergeCell ref="E97:G97"/>
    <mergeCell ref="E98:G98"/>
    <mergeCell ref="G101:H101"/>
    <mergeCell ref="G102:H102"/>
    <mergeCell ref="E102:F102"/>
    <mergeCell ref="I102:I105"/>
    <mergeCell ref="A103:B104"/>
    <mergeCell ref="E104:F104"/>
    <mergeCell ref="G104:H104"/>
    <mergeCell ref="A105:B105"/>
    <mergeCell ref="E105:F105"/>
    <mergeCell ref="G105:H105"/>
    <mergeCell ref="E103:F103"/>
    <mergeCell ref="G103:H103"/>
  </mergeCells>
  <phoneticPr fontId="41" type="noConversion"/>
  <pageMargins left="0.7" right="0.7" top="0.75" bottom="0.75" header="0.3" footer="0.3"/>
  <pageSetup paperSize="9" scale="24" fitToHeight="0" orientation="portrait" horizontalDpi="300" verticalDpi="300" r:id="rId1"/>
  <ignoredErrors>
    <ignoredError sqref="C85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</xdr:col>
                    <xdr:colOff>960120</xdr:colOff>
                    <xdr:row>3</xdr:row>
                    <xdr:rowOff>144780</xdr:rowOff>
                  </from>
                  <to>
                    <xdr:col>1</xdr:col>
                    <xdr:colOff>1158240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5" name="Check Box 1">
              <controlPr defaultSize="0" autoFill="0" autoLine="0" autoPict="0">
                <anchor moveWithCells="1">
                  <from>
                    <xdr:col>1</xdr:col>
                    <xdr:colOff>960120</xdr:colOff>
                    <xdr:row>2</xdr:row>
                    <xdr:rowOff>144780</xdr:rowOff>
                  </from>
                  <to>
                    <xdr:col>1</xdr:col>
                    <xdr:colOff>1158240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6" name="Check Box 3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22860</xdr:rowOff>
                  </from>
                  <to>
                    <xdr:col>4</xdr:col>
                    <xdr:colOff>868680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7" name="Check Box 4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160020</xdr:rowOff>
                  </from>
                  <to>
                    <xdr:col>4</xdr:col>
                    <xdr:colOff>883920</xdr:colOff>
                    <xdr:row>18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'Trieda budovy'!$A$6:$A$10</xm:f>
          </x14:formula1>
          <xm:sqref>A78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03"/>
  <sheetViews>
    <sheetView topLeftCell="A36" zoomScale="120" zoomScaleNormal="120" workbookViewId="0">
      <selection activeCell="C47" sqref="C47:G47"/>
    </sheetView>
  </sheetViews>
  <sheetFormatPr defaultColWidth="9.109375" defaultRowHeight="10.199999999999999" outlineLevelCol="1"/>
  <cols>
    <col min="1" max="1" width="11.33203125" style="9" customWidth="1"/>
    <col min="2" max="2" width="33.44140625" style="9" customWidth="1"/>
    <col min="3" max="3" width="15.109375" style="9" customWidth="1"/>
    <col min="4" max="4" width="9.88671875" style="9" customWidth="1"/>
    <col min="5" max="5" width="20.44140625" style="9" customWidth="1" outlineLevel="1"/>
    <col min="6" max="6" width="11.109375" style="9" customWidth="1"/>
    <col min="7" max="7" width="10.109375" style="9" customWidth="1"/>
    <col min="8" max="8" width="10" style="9" customWidth="1"/>
    <col min="9" max="9" width="14.44140625" style="9" customWidth="1"/>
    <col min="10" max="10" width="19.88671875" style="9" customWidth="1"/>
    <col min="11" max="11" width="17.5546875" style="9" customWidth="1"/>
    <col min="12" max="12" width="12" style="9" customWidth="1"/>
    <col min="13" max="13" width="12.109375" style="9" customWidth="1"/>
    <col min="14" max="14" width="17.109375" style="9" customWidth="1"/>
    <col min="15" max="15" width="9.109375" style="9"/>
    <col min="16" max="16" width="16.6640625" style="9" bestFit="1" customWidth="1"/>
    <col min="17" max="17" width="11.33203125" style="9" bestFit="1" customWidth="1"/>
    <col min="18" max="18" width="6.6640625" style="9" bestFit="1" customWidth="1"/>
    <col min="19" max="19" width="11.33203125" style="9" bestFit="1" customWidth="1"/>
    <col min="20" max="20" width="6.6640625" style="9" bestFit="1" customWidth="1"/>
    <col min="21" max="16384" width="9.109375" style="9"/>
  </cols>
  <sheetData>
    <row r="1" spans="1:26" ht="22.5" customHeight="1">
      <c r="A1" s="65" t="s">
        <v>3</v>
      </c>
      <c r="B1" s="75">
        <f>Legenda!A8</f>
        <v>0</v>
      </c>
      <c r="C1" s="302" t="s">
        <v>168</v>
      </c>
      <c r="D1" s="303"/>
      <c r="E1" s="303"/>
      <c r="F1" s="300" t="s">
        <v>169</v>
      </c>
      <c r="G1" s="301"/>
      <c r="H1" s="298">
        <f>Legenda!A9</f>
        <v>0</v>
      </c>
      <c r="I1" s="299"/>
    </row>
    <row r="2" spans="1:26" ht="18" customHeight="1">
      <c r="A2" s="231" t="s">
        <v>4</v>
      </c>
      <c r="B2" s="211"/>
      <c r="C2" s="211" t="s">
        <v>5</v>
      </c>
      <c r="D2" s="211"/>
      <c r="E2" s="1"/>
      <c r="G2" s="115"/>
      <c r="H2" s="211"/>
      <c r="I2" s="212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ht="14.1" customHeight="1">
      <c r="A3" s="51" t="s">
        <v>6</v>
      </c>
      <c r="B3" s="74">
        <f>Legenda!A11</f>
        <v>0</v>
      </c>
      <c r="C3" s="51" t="s">
        <v>7</v>
      </c>
      <c r="D3" s="74">
        <f>Legenda!A10</f>
        <v>0</v>
      </c>
      <c r="E3" s="3"/>
      <c r="F3" s="4"/>
      <c r="H3" s="213"/>
      <c r="I3" s="214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</row>
    <row r="4" spans="1:26" ht="14.1" customHeight="1">
      <c r="A4" s="76" t="s">
        <v>8</v>
      </c>
      <c r="B4" s="103" t="s">
        <v>9</v>
      </c>
      <c r="C4" s="211" t="s">
        <v>10</v>
      </c>
      <c r="D4" s="211"/>
      <c r="E4" s="211"/>
      <c r="F4" s="1"/>
      <c r="G4" s="1"/>
      <c r="H4" s="1"/>
      <c r="I4" s="2"/>
    </row>
    <row r="5" spans="1:26" ht="13.5" customHeight="1" thickBot="1">
      <c r="A5" s="45"/>
      <c r="B5" s="104" t="s">
        <v>164</v>
      </c>
      <c r="C5" s="51" t="s">
        <v>11</v>
      </c>
      <c r="D5" s="74" t="e">
        <f>B3/D3</f>
        <v>#DIV/0!</v>
      </c>
      <c r="E5" s="47"/>
      <c r="F5" s="46"/>
      <c r="G5" s="46"/>
      <c r="H5" s="46"/>
      <c r="I5" s="48"/>
    </row>
    <row r="6" spans="1:26" ht="68.25" customHeight="1">
      <c r="A6" s="232" t="s">
        <v>12</v>
      </c>
      <c r="B6" s="233"/>
      <c r="E6" s="99" t="s">
        <v>108</v>
      </c>
      <c r="I6" s="148" t="s">
        <v>109</v>
      </c>
    </row>
    <row r="7" spans="1:26" ht="13.5" customHeight="1">
      <c r="A7" s="234" t="s">
        <v>0</v>
      </c>
      <c r="B7" s="235"/>
      <c r="C7" s="100" t="s">
        <v>13</v>
      </c>
      <c r="D7" s="100" t="s">
        <v>14</v>
      </c>
      <c r="E7" s="101" t="s">
        <v>153</v>
      </c>
      <c r="F7" s="100" t="s">
        <v>15</v>
      </c>
      <c r="G7" s="100" t="s">
        <v>16</v>
      </c>
      <c r="H7" s="102" t="s">
        <v>17</v>
      </c>
      <c r="I7" s="30" t="s">
        <v>116</v>
      </c>
    </row>
    <row r="8" spans="1:26" ht="14.1" customHeight="1">
      <c r="A8" s="215" t="s">
        <v>248</v>
      </c>
      <c r="B8" s="216"/>
      <c r="C8" s="66"/>
      <c r="D8" s="66"/>
      <c r="E8" s="52" t="s">
        <v>110</v>
      </c>
      <c r="F8" s="67">
        <f>C8*D8</f>
        <v>0</v>
      </c>
      <c r="G8" s="69">
        <v>1</v>
      </c>
      <c r="H8" s="68">
        <f>G8*F8</f>
        <v>0</v>
      </c>
      <c r="I8" s="149" t="e">
        <f>H8/H17</f>
        <v>#DIV/0!</v>
      </c>
      <c r="K8" s="37"/>
      <c r="L8" s="37"/>
      <c r="M8" s="38"/>
      <c r="N8" s="38"/>
    </row>
    <row r="9" spans="1:26" ht="21.6" customHeight="1">
      <c r="A9" s="217" t="s">
        <v>250</v>
      </c>
      <c r="B9" s="218"/>
      <c r="C9" s="66"/>
      <c r="D9" s="66"/>
      <c r="E9" s="52" t="s">
        <v>111</v>
      </c>
      <c r="F9" s="67">
        <f t="shared" ref="F9:F16" si="0">C9*D9</f>
        <v>0</v>
      </c>
      <c r="G9" s="69">
        <v>1</v>
      </c>
      <c r="H9" s="68">
        <f>G9*F9</f>
        <v>0</v>
      </c>
      <c r="I9" s="149" t="e">
        <f>H9/H17</f>
        <v>#DIV/0!</v>
      </c>
      <c r="K9" s="37"/>
      <c r="L9" s="37"/>
      <c r="M9" s="38"/>
      <c r="N9" s="38"/>
    </row>
    <row r="10" spans="1:26" ht="13.2" customHeight="1">
      <c r="A10" s="215" t="s">
        <v>107</v>
      </c>
      <c r="B10" s="216"/>
      <c r="C10" s="66"/>
      <c r="D10" s="66"/>
      <c r="E10" s="52" t="s">
        <v>112</v>
      </c>
      <c r="F10" s="67">
        <f t="shared" si="0"/>
        <v>0</v>
      </c>
      <c r="G10" s="69">
        <v>1</v>
      </c>
      <c r="H10" s="68">
        <f t="shared" ref="H10:H16" si="1">G10*F10</f>
        <v>0</v>
      </c>
      <c r="I10" s="149" t="e">
        <f>H10/H17</f>
        <v>#DIV/0!</v>
      </c>
      <c r="K10" s="37"/>
      <c r="L10" s="37"/>
      <c r="M10" s="38"/>
      <c r="N10" s="38"/>
    </row>
    <row r="11" spans="1:26" ht="13.2" customHeight="1">
      <c r="A11" s="165"/>
      <c r="B11" s="166"/>
      <c r="C11" s="66"/>
      <c r="D11" s="66"/>
      <c r="E11" s="52"/>
      <c r="F11" s="67"/>
      <c r="G11" s="69"/>
      <c r="H11" s="68"/>
      <c r="I11" s="149"/>
      <c r="K11" s="37"/>
      <c r="L11" s="37"/>
      <c r="M11" s="38"/>
      <c r="N11" s="38"/>
    </row>
    <row r="12" spans="1:26" ht="28.5" customHeight="1">
      <c r="A12" s="217" t="s">
        <v>154</v>
      </c>
      <c r="B12" s="218"/>
      <c r="C12" s="66"/>
      <c r="D12" s="66"/>
      <c r="E12" s="52" t="s">
        <v>113</v>
      </c>
      <c r="F12" s="67">
        <f t="shared" si="0"/>
        <v>0</v>
      </c>
      <c r="G12" s="69">
        <v>1</v>
      </c>
      <c r="H12" s="68">
        <f t="shared" si="1"/>
        <v>0</v>
      </c>
      <c r="I12" s="149" t="e">
        <f>H12/H17</f>
        <v>#DIV/0!</v>
      </c>
      <c r="K12" s="37"/>
      <c r="L12" s="37"/>
      <c r="M12" s="38"/>
      <c r="N12" s="38"/>
    </row>
    <row r="13" spans="1:26" ht="22.95" customHeight="1">
      <c r="A13" s="220" t="s">
        <v>104</v>
      </c>
      <c r="B13" s="221"/>
      <c r="C13" s="66"/>
      <c r="D13" s="66"/>
      <c r="E13" s="228" t="s">
        <v>115</v>
      </c>
      <c r="F13" s="67">
        <f t="shared" si="0"/>
        <v>0</v>
      </c>
      <c r="G13" s="69">
        <v>0.8</v>
      </c>
      <c r="H13" s="68">
        <f t="shared" si="1"/>
        <v>0</v>
      </c>
      <c r="I13" s="149" t="e">
        <f>H13/H17</f>
        <v>#DIV/0!</v>
      </c>
    </row>
    <row r="14" spans="1:26" ht="26.25" customHeight="1">
      <c r="A14" s="220" t="s">
        <v>105</v>
      </c>
      <c r="B14" s="221"/>
      <c r="C14" s="66"/>
      <c r="D14" s="66"/>
      <c r="E14" s="229"/>
      <c r="F14" s="67">
        <f t="shared" si="0"/>
        <v>0</v>
      </c>
      <c r="G14" s="69">
        <v>0.5</v>
      </c>
      <c r="H14" s="68">
        <f t="shared" si="1"/>
        <v>0</v>
      </c>
      <c r="I14" s="149" t="e">
        <f>H14/H17</f>
        <v>#DIV/0!</v>
      </c>
    </row>
    <row r="15" spans="1:26" ht="13.2" customHeight="1">
      <c r="A15" s="220" t="s">
        <v>106</v>
      </c>
      <c r="B15" s="221"/>
      <c r="C15" s="66"/>
      <c r="D15" s="66"/>
      <c r="E15" s="230"/>
      <c r="F15" s="67">
        <f t="shared" si="0"/>
        <v>0</v>
      </c>
      <c r="G15" s="69">
        <v>0.35</v>
      </c>
      <c r="H15" s="68">
        <f t="shared" si="1"/>
        <v>0</v>
      </c>
      <c r="I15" s="149" t="e">
        <f>H15/H17</f>
        <v>#DIV/0!</v>
      </c>
    </row>
    <row r="16" spans="1:26" ht="25.5" customHeight="1" thickBot="1">
      <c r="A16" s="220" t="s">
        <v>151</v>
      </c>
      <c r="B16" s="221"/>
      <c r="C16" s="66"/>
      <c r="D16" s="66"/>
      <c r="E16" s="52" t="s">
        <v>114</v>
      </c>
      <c r="F16" s="67">
        <f t="shared" si="0"/>
        <v>0</v>
      </c>
      <c r="G16" s="69">
        <v>1</v>
      </c>
      <c r="H16" s="68">
        <f t="shared" si="1"/>
        <v>0</v>
      </c>
      <c r="I16" s="149" t="e">
        <f>H16/H17</f>
        <v>#DIV/0!</v>
      </c>
    </row>
    <row r="17" spans="1:29" ht="13.2" customHeight="1" thickBot="1">
      <c r="A17" s="191" t="s">
        <v>1</v>
      </c>
      <c r="B17" s="192"/>
      <c r="C17" s="71" t="s">
        <v>18</v>
      </c>
      <c r="D17" s="70">
        <f>SUM(C8:C16)</f>
        <v>0</v>
      </c>
      <c r="E17" s="72"/>
      <c r="F17" s="73"/>
      <c r="G17" s="71" t="s">
        <v>19</v>
      </c>
      <c r="H17" s="70">
        <f>SUM(H8:H16)</f>
        <v>0</v>
      </c>
      <c r="I17" s="150" t="e">
        <f>I8+I9+I10+I18+I13+I14+I15+I16+I12</f>
        <v>#DIV/0!</v>
      </c>
    </row>
    <row r="18" spans="1:29" ht="14.1" customHeight="1">
      <c r="A18" s="194" t="s">
        <v>132</v>
      </c>
      <c r="B18" s="195"/>
      <c r="C18" s="5" t="s">
        <v>130</v>
      </c>
      <c r="D18" s="49"/>
      <c r="E18" s="97"/>
      <c r="F18" s="1"/>
      <c r="G18" s="1"/>
      <c r="H18" s="49"/>
      <c r="I18" s="2"/>
    </row>
    <row r="19" spans="1:29" ht="14.1" customHeight="1" thickBot="1">
      <c r="A19" s="196"/>
      <c r="B19" s="197"/>
      <c r="C19" s="34" t="s">
        <v>131</v>
      </c>
      <c r="D19" s="3"/>
      <c r="E19" s="98"/>
      <c r="F19" s="4"/>
      <c r="G19" s="7"/>
      <c r="H19" s="3"/>
      <c r="I19" s="6"/>
    </row>
    <row r="20" spans="1:29" ht="14.1" customHeight="1">
      <c r="A20" s="198" t="s">
        <v>20</v>
      </c>
      <c r="B20" s="199"/>
      <c r="C20" s="33" t="s">
        <v>21</v>
      </c>
      <c r="D20" s="8"/>
      <c r="E20" s="261" t="s">
        <v>133</v>
      </c>
      <c r="F20" s="261"/>
      <c r="G20" s="261"/>
      <c r="H20" s="261"/>
      <c r="I20" s="247">
        <v>0.1</v>
      </c>
    </row>
    <row r="21" spans="1:29" ht="37.5" customHeight="1">
      <c r="A21" s="250" t="s">
        <v>22</v>
      </c>
      <c r="B21" s="251"/>
      <c r="C21" s="33" t="s">
        <v>21</v>
      </c>
      <c r="D21" s="8">
        <v>0.02</v>
      </c>
      <c r="E21" s="256" t="s">
        <v>134</v>
      </c>
      <c r="F21" s="256"/>
      <c r="G21" s="256"/>
      <c r="H21" s="256"/>
      <c r="I21" s="248"/>
      <c r="K21" s="44"/>
    </row>
    <row r="22" spans="1:29" ht="36.75" customHeight="1">
      <c r="A22" s="252"/>
      <c r="B22" s="253"/>
      <c r="C22" s="33" t="s">
        <v>21</v>
      </c>
      <c r="D22" s="8">
        <v>0.05</v>
      </c>
      <c r="E22" s="256" t="s">
        <v>135</v>
      </c>
      <c r="F22" s="256"/>
      <c r="G22" s="256"/>
      <c r="H22" s="256"/>
      <c r="I22" s="248"/>
    </row>
    <row r="23" spans="1:29" ht="36.75" customHeight="1">
      <c r="A23" s="252"/>
      <c r="B23" s="253"/>
      <c r="C23" s="33" t="s">
        <v>21</v>
      </c>
      <c r="D23" s="8">
        <v>0.1</v>
      </c>
      <c r="E23" s="256" t="s">
        <v>136</v>
      </c>
      <c r="F23" s="256"/>
      <c r="G23" s="256"/>
      <c r="H23" s="256"/>
      <c r="I23" s="248"/>
    </row>
    <row r="24" spans="1:29" ht="17.25" customHeight="1" thickBot="1">
      <c r="A24" s="254"/>
      <c r="B24" s="255"/>
      <c r="C24" s="33" t="s">
        <v>21</v>
      </c>
      <c r="D24" s="8">
        <v>0.2</v>
      </c>
      <c r="E24" s="257" t="s">
        <v>137</v>
      </c>
      <c r="F24" s="257"/>
      <c r="G24" s="257"/>
      <c r="H24" s="257"/>
      <c r="I24" s="249"/>
    </row>
    <row r="25" spans="1:29" ht="14.1" customHeight="1">
      <c r="A25" s="227" t="s">
        <v>23</v>
      </c>
      <c r="B25" s="227"/>
      <c r="C25" s="227"/>
      <c r="D25" s="227"/>
      <c r="E25" s="244" t="s">
        <v>24</v>
      </c>
      <c r="F25" s="245"/>
      <c r="G25" s="246"/>
      <c r="H25" s="77">
        <f>I20*D17</f>
        <v>0</v>
      </c>
      <c r="I25" s="54"/>
    </row>
    <row r="26" spans="1:29" ht="14.1" customHeight="1">
      <c r="A26" s="227" t="s">
        <v>25</v>
      </c>
      <c r="B26" s="227"/>
      <c r="C26" s="227"/>
      <c r="D26" s="227"/>
      <c r="E26" s="244" t="s">
        <v>26</v>
      </c>
      <c r="F26" s="245"/>
      <c r="G26" s="246"/>
      <c r="H26" s="78">
        <f>H17+H25</f>
        <v>0</v>
      </c>
      <c r="I26" s="55"/>
      <c r="K26" s="44"/>
    </row>
    <row r="27" spans="1:29" ht="14.1" customHeight="1">
      <c r="A27" s="227" t="s">
        <v>27</v>
      </c>
      <c r="B27" s="227"/>
      <c r="C27" s="227"/>
      <c r="D27" s="227"/>
      <c r="E27" s="244" t="s">
        <v>28</v>
      </c>
      <c r="F27" s="245"/>
      <c r="G27" s="246"/>
      <c r="H27" s="78" t="e">
        <f>H26/D17</f>
        <v>#DIV/0!</v>
      </c>
      <c r="I27" s="55"/>
      <c r="K27" s="44"/>
    </row>
    <row r="28" spans="1:29" ht="23.25" customHeight="1">
      <c r="A28" s="238" t="s">
        <v>29</v>
      </c>
      <c r="B28" s="239"/>
      <c r="C28" s="274" t="s">
        <v>147</v>
      </c>
      <c r="D28" s="275"/>
      <c r="E28" s="225" t="s">
        <v>85</v>
      </c>
      <c r="F28" s="226" t="s">
        <v>31</v>
      </c>
      <c r="G28" s="267">
        <f>(100-E30)%*1.2*1010*0.85*B30*B3/3600</f>
        <v>0</v>
      </c>
      <c r="H28" s="268"/>
      <c r="I28" s="208"/>
    </row>
    <row r="29" spans="1:29" ht="30" customHeight="1">
      <c r="A29" s="35" t="s">
        <v>30</v>
      </c>
      <c r="B29" s="105"/>
      <c r="C29" s="276"/>
      <c r="D29" s="277"/>
      <c r="E29" s="225"/>
      <c r="F29" s="226"/>
      <c r="G29" s="269"/>
      <c r="H29" s="270"/>
      <c r="I29" s="209"/>
    </row>
    <row r="30" spans="1:29" ht="14.1" customHeight="1">
      <c r="A30" s="50" t="s">
        <v>32</v>
      </c>
      <c r="B30" s="96">
        <v>0.5</v>
      </c>
      <c r="C30" s="278"/>
      <c r="D30" s="279"/>
      <c r="E30" s="79">
        <v>0</v>
      </c>
      <c r="F30" s="226"/>
      <c r="G30" s="271"/>
      <c r="H30" s="272"/>
      <c r="I30" s="209"/>
    </row>
    <row r="31" spans="1:29" ht="14.1" customHeight="1">
      <c r="A31" s="238" t="s">
        <v>33</v>
      </c>
      <c r="B31" s="239"/>
      <c r="C31" s="224" t="s">
        <v>34</v>
      </c>
      <c r="D31" s="224"/>
      <c r="E31" s="224"/>
      <c r="F31" s="224"/>
      <c r="G31" s="265">
        <f>H26+G28</f>
        <v>0</v>
      </c>
      <c r="H31" s="266"/>
      <c r="I31" s="210"/>
    </row>
    <row r="32" spans="1:29" ht="14.1" customHeight="1">
      <c r="A32" s="222" t="s">
        <v>35</v>
      </c>
      <c r="B32" s="223"/>
      <c r="C32" s="15" t="s">
        <v>45</v>
      </c>
      <c r="D32" s="15" t="s">
        <v>43</v>
      </c>
      <c r="E32" s="15" t="s">
        <v>46</v>
      </c>
      <c r="F32" s="15" t="s">
        <v>44</v>
      </c>
      <c r="G32" s="193"/>
      <c r="H32" s="193"/>
      <c r="I32" s="10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</row>
    <row r="33" spans="1:29">
      <c r="A33" s="106"/>
      <c r="B33" s="16" t="s">
        <v>47</v>
      </c>
      <c r="C33" s="80">
        <v>0.9</v>
      </c>
      <c r="D33" s="80">
        <v>0.76</v>
      </c>
      <c r="E33" s="80">
        <v>0.51200000000000001</v>
      </c>
      <c r="F33" s="80"/>
      <c r="G33" s="83"/>
      <c r="H33" s="84"/>
      <c r="I33" s="11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</row>
    <row r="34" spans="1:29" ht="13.2" customHeight="1">
      <c r="A34" s="106"/>
      <c r="B34" s="16" t="s">
        <v>48</v>
      </c>
      <c r="C34" s="80">
        <v>0.9</v>
      </c>
      <c r="D34" s="80">
        <v>0.76</v>
      </c>
      <c r="E34" s="80">
        <v>0.51200000000000001</v>
      </c>
      <c r="F34" s="80"/>
      <c r="G34" s="86"/>
      <c r="I34" s="13"/>
    </row>
    <row r="35" spans="1:29" ht="13.2" customHeight="1">
      <c r="A35" s="106"/>
      <c r="B35" s="16" t="s">
        <v>49</v>
      </c>
      <c r="C35" s="80">
        <v>0.9</v>
      </c>
      <c r="D35" s="80">
        <v>0.76</v>
      </c>
      <c r="E35" s="80">
        <v>0.51200000000000001</v>
      </c>
      <c r="F35" s="80"/>
      <c r="G35" s="86"/>
      <c r="I35" s="13"/>
    </row>
    <row r="36" spans="1:29" ht="13.2" customHeight="1">
      <c r="A36" s="106"/>
      <c r="B36" s="16" t="s">
        <v>50</v>
      </c>
      <c r="C36" s="80">
        <v>0.9</v>
      </c>
      <c r="D36" s="80">
        <v>0.76</v>
      </c>
      <c r="E36" s="80">
        <v>0.51200000000000001</v>
      </c>
      <c r="F36" s="80"/>
      <c r="G36" s="86"/>
      <c r="I36" s="13"/>
    </row>
    <row r="37" spans="1:29" ht="13.2" customHeight="1">
      <c r="A37" s="106"/>
      <c r="B37" s="16" t="s">
        <v>211</v>
      </c>
      <c r="C37" s="80">
        <v>0.8</v>
      </c>
      <c r="D37" s="80">
        <v>0.76</v>
      </c>
      <c r="E37" s="80">
        <v>0.64</v>
      </c>
      <c r="F37" s="80"/>
      <c r="G37" s="86"/>
      <c r="I37" s="13"/>
    </row>
    <row r="38" spans="1:29" ht="13.2" customHeight="1">
      <c r="A38" s="106"/>
      <c r="B38" s="16" t="s">
        <v>212</v>
      </c>
      <c r="C38" s="80">
        <v>0.8</v>
      </c>
      <c r="D38" s="80">
        <v>0.76</v>
      </c>
      <c r="E38" s="80">
        <v>0.64</v>
      </c>
      <c r="F38" s="80"/>
      <c r="G38" s="86"/>
      <c r="I38" s="13"/>
    </row>
    <row r="39" spans="1:29" ht="13.2" customHeight="1">
      <c r="A39" s="106"/>
      <c r="B39" s="16" t="s">
        <v>213</v>
      </c>
      <c r="C39" s="80">
        <v>0.8</v>
      </c>
      <c r="D39" s="80">
        <v>0.76</v>
      </c>
      <c r="E39" s="80">
        <v>0.64</v>
      </c>
      <c r="F39" s="80"/>
      <c r="G39" s="86"/>
      <c r="I39" s="13"/>
    </row>
    <row r="40" spans="1:29" ht="13.2" customHeight="1">
      <c r="A40" s="106"/>
      <c r="B40" s="16" t="s">
        <v>214</v>
      </c>
      <c r="C40" s="80">
        <v>0.8</v>
      </c>
      <c r="D40" s="80">
        <v>0.76</v>
      </c>
      <c r="E40" s="80">
        <v>0.64</v>
      </c>
      <c r="F40" s="80"/>
      <c r="G40" s="86"/>
      <c r="I40" s="13"/>
    </row>
    <row r="41" spans="1:29" ht="13.2" customHeight="1">
      <c r="A41" s="106"/>
      <c r="B41" s="16" t="s">
        <v>51</v>
      </c>
      <c r="C41" s="80">
        <v>0.8</v>
      </c>
      <c r="D41" s="80">
        <v>0.76</v>
      </c>
      <c r="E41" s="80">
        <v>0.64</v>
      </c>
      <c r="F41" s="80"/>
      <c r="G41" s="81"/>
      <c r="H41" s="82"/>
      <c r="I41" s="85"/>
    </row>
    <row r="42" spans="1:29" ht="13.2" customHeight="1">
      <c r="A42" s="14"/>
      <c r="B42" s="17"/>
      <c r="C42" s="31"/>
      <c r="D42" s="31"/>
      <c r="E42" s="31"/>
      <c r="F42" s="31"/>
      <c r="G42" s="31"/>
      <c r="H42" s="31"/>
      <c r="I42" s="10"/>
    </row>
    <row r="43" spans="1:29" ht="13.2" customHeight="1">
      <c r="A43" s="242" t="s">
        <v>52</v>
      </c>
      <c r="B43" s="243"/>
      <c r="C43" s="243"/>
      <c r="D43" s="243"/>
      <c r="E43" s="94"/>
      <c r="F43" s="94"/>
      <c r="G43" s="94"/>
      <c r="H43" s="94"/>
      <c r="I43" s="95"/>
    </row>
    <row r="44" spans="1:29" ht="13.2" customHeight="1">
      <c r="A44" s="262"/>
      <c r="B44" s="273" t="s">
        <v>53</v>
      </c>
      <c r="C44" s="273" t="s">
        <v>54</v>
      </c>
      <c r="D44" s="273"/>
      <c r="E44" s="273"/>
      <c r="F44" s="273"/>
      <c r="G44" s="273"/>
      <c r="H44" s="273"/>
      <c r="I44" s="284"/>
    </row>
    <row r="45" spans="1:29" ht="13.2" customHeight="1">
      <c r="A45" s="263"/>
      <c r="B45" s="273"/>
      <c r="C45" s="18" t="s">
        <v>55</v>
      </c>
      <c r="D45" s="18" t="s">
        <v>56</v>
      </c>
      <c r="E45" s="18" t="s">
        <v>57</v>
      </c>
      <c r="F45" s="18" t="s">
        <v>58</v>
      </c>
      <c r="G45" s="18" t="s">
        <v>59</v>
      </c>
      <c r="H45" s="18" t="s">
        <v>60</v>
      </c>
      <c r="I45" s="23" t="s">
        <v>61</v>
      </c>
      <c r="J45" s="44" t="s">
        <v>233</v>
      </c>
    </row>
    <row r="46" spans="1:29" ht="13.2" customHeight="1">
      <c r="A46" s="263"/>
      <c r="B46" s="16" t="s">
        <v>62</v>
      </c>
      <c r="C46" s="27">
        <v>31</v>
      </c>
      <c r="D46" s="27">
        <v>28</v>
      </c>
      <c r="E46" s="27">
        <v>31</v>
      </c>
      <c r="F46" s="27">
        <v>30</v>
      </c>
      <c r="G46" s="27">
        <v>31</v>
      </c>
      <c r="H46" s="27">
        <v>30</v>
      </c>
      <c r="I46" s="30">
        <v>31</v>
      </c>
      <c r="J46" s="44" t="s">
        <v>232</v>
      </c>
    </row>
    <row r="47" spans="1:29" ht="13.2" customHeight="1">
      <c r="A47" s="263"/>
      <c r="B47" s="16" t="s">
        <v>64</v>
      </c>
      <c r="C47" s="80"/>
      <c r="D47" s="80"/>
      <c r="E47" s="80"/>
      <c r="F47" s="80"/>
      <c r="G47" s="80"/>
      <c r="H47" s="80"/>
      <c r="I47" s="91"/>
    </row>
    <row r="48" spans="1:29" ht="13.2" customHeight="1">
      <c r="A48" s="263"/>
      <c r="B48" s="16" t="s">
        <v>63</v>
      </c>
      <c r="C48" s="27">
        <v>20</v>
      </c>
      <c r="D48" s="27">
        <v>20</v>
      </c>
      <c r="E48" s="27">
        <v>20</v>
      </c>
      <c r="F48" s="27">
        <v>20</v>
      </c>
      <c r="G48" s="27">
        <v>20</v>
      </c>
      <c r="H48" s="27">
        <v>20</v>
      </c>
      <c r="I48" s="30">
        <v>20</v>
      </c>
    </row>
    <row r="49" spans="1:10" ht="13.2" customHeight="1">
      <c r="A49" s="264"/>
      <c r="B49" s="16" t="s">
        <v>165</v>
      </c>
      <c r="C49" s="87">
        <f>((20-(C47))*C46*24/1000)*G31</f>
        <v>0</v>
      </c>
      <c r="D49" s="87">
        <f>((20-(D47))*D46*24/1000)*G31</f>
        <v>0</v>
      </c>
      <c r="E49" s="87">
        <f>((20-(E47))*E46*24/1000)*G31</f>
        <v>0</v>
      </c>
      <c r="F49" s="87">
        <f>((20-(F47))*F46*24/1000)*G31</f>
        <v>0</v>
      </c>
      <c r="G49" s="87">
        <f>((20-(G47))*G46*24/1000)*G31</f>
        <v>0</v>
      </c>
      <c r="H49" s="87">
        <f>((20-(H47))*H46*24/1000)*G31</f>
        <v>0</v>
      </c>
      <c r="I49" s="88">
        <f>((20-(I47))*I46*24/1000)*G31</f>
        <v>0</v>
      </c>
      <c r="J49" s="92">
        <f>C49+D49+E49+F49+G49+H49+I49</f>
        <v>0</v>
      </c>
    </row>
    <row r="50" spans="1:10" ht="13.2" customHeight="1">
      <c r="A50" s="242" t="s">
        <v>65</v>
      </c>
      <c r="B50" s="243"/>
      <c r="C50" s="94"/>
      <c r="D50" s="94"/>
      <c r="E50" s="94"/>
      <c r="F50" s="94"/>
      <c r="G50" s="94"/>
      <c r="H50" s="94"/>
      <c r="I50" s="95"/>
    </row>
    <row r="51" spans="1:10" ht="30.75" customHeight="1">
      <c r="A51" s="296" t="s">
        <v>36</v>
      </c>
      <c r="B51" s="27" t="s">
        <v>37</v>
      </c>
      <c r="C51" s="240" t="s">
        <v>38</v>
      </c>
      <c r="D51" s="241"/>
      <c r="E51" s="27" t="s">
        <v>39</v>
      </c>
      <c r="F51" s="285" t="s">
        <v>142</v>
      </c>
      <c r="G51" s="285"/>
      <c r="H51" s="285"/>
      <c r="I51" s="286"/>
    </row>
    <row r="52" spans="1:10" ht="14.1" customHeight="1">
      <c r="A52" s="297"/>
      <c r="B52" s="27">
        <v>4</v>
      </c>
      <c r="C52" s="240">
        <v>5</v>
      </c>
      <c r="D52" s="241"/>
      <c r="E52" s="27">
        <v>6</v>
      </c>
      <c r="F52" s="259">
        <v>5</v>
      </c>
      <c r="G52" s="259"/>
      <c r="H52" s="259"/>
      <c r="I52" s="304"/>
    </row>
    <row r="53" spans="1:10" ht="14.1" customHeight="1">
      <c r="A53" s="12"/>
      <c r="B53" s="19"/>
      <c r="C53" s="206" t="s">
        <v>54</v>
      </c>
      <c r="D53" s="206"/>
      <c r="E53" s="206"/>
      <c r="F53" s="206"/>
      <c r="G53" s="206"/>
      <c r="H53" s="206"/>
      <c r="I53" s="207"/>
    </row>
    <row r="54" spans="1:10" ht="14.1" customHeight="1">
      <c r="A54" s="204" t="s">
        <v>70</v>
      </c>
      <c r="B54" s="205"/>
      <c r="C54" s="18" t="s">
        <v>55</v>
      </c>
      <c r="D54" s="18" t="s">
        <v>56</v>
      </c>
      <c r="E54" s="18" t="s">
        <v>57</v>
      </c>
      <c r="F54" s="18" t="s">
        <v>58</v>
      </c>
      <c r="G54" s="18" t="s">
        <v>59</v>
      </c>
      <c r="H54" s="18" t="s">
        <v>60</v>
      </c>
      <c r="I54" s="23" t="s">
        <v>61</v>
      </c>
    </row>
    <row r="55" spans="1:10" ht="13.2" customHeight="1">
      <c r="A55" s="107" t="s">
        <v>66</v>
      </c>
      <c r="B55" s="16" t="s">
        <v>71</v>
      </c>
      <c r="C55" s="87">
        <f>C46*24*F52*D3/1000</f>
        <v>0</v>
      </c>
      <c r="D55" s="87">
        <f>D46*24*F52*D3/1000</f>
        <v>0</v>
      </c>
      <c r="E55" s="87">
        <f>E46*24*F52*D3/1000</f>
        <v>0</v>
      </c>
      <c r="F55" s="87">
        <f>F46*24*F52*D3/1000</f>
        <v>0</v>
      </c>
      <c r="G55" s="87">
        <f>G46*24*F52*D3/1000</f>
        <v>0</v>
      </c>
      <c r="H55" s="87">
        <f>H46*24*F52*D3/1000</f>
        <v>0</v>
      </c>
      <c r="I55" s="88">
        <f>I46*24*F52*D3/1000</f>
        <v>0</v>
      </c>
      <c r="J55" s="92">
        <f>C55+D55+E55+F55+G55+H55+I55</f>
        <v>0</v>
      </c>
    </row>
    <row r="56" spans="1:10" ht="13.2" customHeight="1">
      <c r="A56" s="204" t="s">
        <v>67</v>
      </c>
      <c r="B56" s="16" t="s">
        <v>72</v>
      </c>
      <c r="C56" s="80"/>
      <c r="D56" s="80"/>
      <c r="E56" s="80"/>
      <c r="F56" s="80"/>
      <c r="G56" s="80"/>
      <c r="H56" s="80"/>
      <c r="I56" s="141"/>
      <c r="J56" s="142"/>
    </row>
    <row r="57" spans="1:10" ht="13.2" customHeight="1">
      <c r="A57" s="204"/>
      <c r="B57" s="16" t="s">
        <v>73</v>
      </c>
      <c r="C57" s="89">
        <f>C56*C33*D33*F33*E33</f>
        <v>0</v>
      </c>
      <c r="D57" s="89">
        <f>D56*C33*D33*F33*E33</f>
        <v>0</v>
      </c>
      <c r="E57" s="89">
        <f>E56*C33*D33*E33*F33</f>
        <v>0</v>
      </c>
      <c r="F57" s="89">
        <f>F56*C33*D33*F33*E33</f>
        <v>0</v>
      </c>
      <c r="G57" s="89">
        <f>G56*C33*D33*F33*E33</f>
        <v>0</v>
      </c>
      <c r="H57" s="89">
        <f>H56*C33*D33*F33*E33</f>
        <v>0</v>
      </c>
      <c r="I57" s="90">
        <f>I56*C33*D33*F33*E33</f>
        <v>0</v>
      </c>
    </row>
    <row r="58" spans="1:10" ht="13.2" customHeight="1">
      <c r="A58" s="204"/>
      <c r="B58" s="16" t="s">
        <v>74</v>
      </c>
      <c r="C58" s="80"/>
      <c r="D58" s="80"/>
      <c r="E58" s="80"/>
      <c r="F58" s="80"/>
      <c r="G58" s="80"/>
      <c r="H58" s="80"/>
      <c r="I58" s="91"/>
    </row>
    <row r="59" spans="1:10" ht="13.2" customHeight="1">
      <c r="A59" s="204"/>
      <c r="B59" s="16" t="s">
        <v>75</v>
      </c>
      <c r="C59" s="89">
        <f>C58*C34*D34*F34*E34</f>
        <v>0</v>
      </c>
      <c r="D59" s="89">
        <f>D58*C34*D34*F34*E34</f>
        <v>0</v>
      </c>
      <c r="E59" s="89">
        <f>E58*C34*D34*E34*F34</f>
        <v>0</v>
      </c>
      <c r="F59" s="89">
        <f>F58*C34*D34*F34*E34</f>
        <v>0</v>
      </c>
      <c r="G59" s="89">
        <f>G58*C34*D34*F34*E34</f>
        <v>0</v>
      </c>
      <c r="H59" s="89">
        <f>H58*C34*D34*F34*E34</f>
        <v>0</v>
      </c>
      <c r="I59" s="90">
        <f>I58*C34*D34*F34*E34</f>
        <v>0</v>
      </c>
    </row>
    <row r="60" spans="1:10" ht="13.2" customHeight="1">
      <c r="A60" s="204"/>
      <c r="B60" s="16" t="s">
        <v>76</v>
      </c>
      <c r="C60" s="80"/>
      <c r="D60" s="80"/>
      <c r="E60" s="80"/>
      <c r="F60" s="80"/>
      <c r="G60" s="80"/>
      <c r="H60" s="80"/>
      <c r="I60" s="91"/>
    </row>
    <row r="61" spans="1:10" ht="13.2" customHeight="1">
      <c r="A61" s="204"/>
      <c r="B61" s="16" t="s">
        <v>77</v>
      </c>
      <c r="C61" s="89">
        <f>C60*C35*D35*F35*E35</f>
        <v>0</v>
      </c>
      <c r="D61" s="89">
        <f>D60*C35*D35*F35*E35</f>
        <v>0</v>
      </c>
      <c r="E61" s="89">
        <f>E60*C35*D35*E35*F35</f>
        <v>0</v>
      </c>
      <c r="F61" s="89">
        <f>F60*C35*D35*F35*E35</f>
        <v>0</v>
      </c>
      <c r="G61" s="89">
        <f>G60*C35*D35*F35*E35</f>
        <v>0</v>
      </c>
      <c r="H61" s="89">
        <f>H60*C35*D35*F35*E35</f>
        <v>0</v>
      </c>
      <c r="I61" s="90">
        <f>I60*C35*D35*F35*E35</f>
        <v>0</v>
      </c>
    </row>
    <row r="62" spans="1:10" ht="13.2" customHeight="1">
      <c r="A62" s="204"/>
      <c r="B62" s="16" t="s">
        <v>78</v>
      </c>
      <c r="C62" s="80"/>
      <c r="D62" s="80"/>
      <c r="E62" s="80"/>
      <c r="F62" s="80"/>
      <c r="G62" s="80"/>
      <c r="H62" s="80"/>
      <c r="I62" s="91"/>
    </row>
    <row r="63" spans="1:10" ht="13.2" customHeight="1">
      <c r="A63" s="204"/>
      <c r="B63" s="16" t="s">
        <v>79</v>
      </c>
      <c r="C63" s="89">
        <f>C62*C36*D36*F36*E36</f>
        <v>0</v>
      </c>
      <c r="D63" s="89">
        <f>D62*C36*D36*F36*E36</f>
        <v>0</v>
      </c>
      <c r="E63" s="89">
        <f>E62*C36*D36*E36*F36</f>
        <v>0</v>
      </c>
      <c r="F63" s="89">
        <f>F62*C36*D36*F36*E36</f>
        <v>0</v>
      </c>
      <c r="G63" s="89">
        <f>G62*C36*D36*F36*E36</f>
        <v>0</v>
      </c>
      <c r="H63" s="89">
        <f>H62*C36*D36*F36*E36</f>
        <v>0</v>
      </c>
      <c r="I63" s="90">
        <f>I62*C36*D36*F36*E36</f>
        <v>0</v>
      </c>
    </row>
    <row r="64" spans="1:10" ht="13.2" customHeight="1">
      <c r="A64" s="204"/>
      <c r="B64" s="16" t="s">
        <v>80</v>
      </c>
      <c r="C64" s="80"/>
      <c r="D64" s="80"/>
      <c r="E64" s="80"/>
      <c r="F64" s="80"/>
      <c r="G64" s="80"/>
      <c r="H64" s="80"/>
      <c r="I64" s="91"/>
    </row>
    <row r="65" spans="1:10" ht="13.2" customHeight="1">
      <c r="A65" s="204"/>
      <c r="B65" s="16" t="s">
        <v>208</v>
      </c>
      <c r="C65" s="89">
        <f>C64*$C$37*$D$37*$F$37*$E$37</f>
        <v>0</v>
      </c>
      <c r="D65" s="89">
        <f t="shared" ref="D65:I65" si="2">D64*$C$37*$D$37*$F$37*$E$37</f>
        <v>0</v>
      </c>
      <c r="E65" s="89">
        <f t="shared" si="2"/>
        <v>0</v>
      </c>
      <c r="F65" s="89">
        <f t="shared" si="2"/>
        <v>0</v>
      </c>
      <c r="G65" s="89">
        <f>G64*$C$37*$D$37*$F$37*$E$37</f>
        <v>0</v>
      </c>
      <c r="H65" s="89">
        <f t="shared" si="2"/>
        <v>0</v>
      </c>
      <c r="I65" s="140">
        <f t="shared" si="2"/>
        <v>0</v>
      </c>
      <c r="J65" s="142"/>
    </row>
    <row r="66" spans="1:10" ht="13.2" customHeight="1">
      <c r="A66" s="204"/>
      <c r="B66" s="16" t="s">
        <v>209</v>
      </c>
      <c r="C66" s="80"/>
      <c r="D66" s="80"/>
      <c r="E66" s="80"/>
      <c r="F66" s="80"/>
      <c r="G66" s="80"/>
      <c r="H66" s="80"/>
      <c r="I66" s="91"/>
    </row>
    <row r="67" spans="1:10" ht="13.2" customHeight="1">
      <c r="A67" s="204"/>
      <c r="B67" s="16" t="s">
        <v>210</v>
      </c>
      <c r="C67" s="89">
        <f>C66*$C$38*$D$38*$F$38*$E$38</f>
        <v>0</v>
      </c>
      <c r="D67" s="89">
        <f t="shared" ref="D67:H67" si="3">D66*$C$38*$D$38*$F$38*$E$38</f>
        <v>0</v>
      </c>
      <c r="E67" s="89">
        <f t="shared" si="3"/>
        <v>0</v>
      </c>
      <c r="F67" s="89">
        <f t="shared" si="3"/>
        <v>0</v>
      </c>
      <c r="G67" s="89">
        <f t="shared" si="3"/>
        <v>0</v>
      </c>
      <c r="H67" s="89">
        <f t="shared" si="3"/>
        <v>0</v>
      </c>
      <c r="I67" s="140">
        <f>I66*$C$38*$D$38*$F$38*$E$38</f>
        <v>0</v>
      </c>
      <c r="J67" s="142"/>
    </row>
    <row r="68" spans="1:10" ht="13.2" customHeight="1">
      <c r="A68" s="204"/>
      <c r="B68" s="16" t="s">
        <v>215</v>
      </c>
      <c r="C68" s="80"/>
      <c r="D68" s="80"/>
      <c r="E68" s="80"/>
      <c r="F68" s="80"/>
      <c r="G68" s="80"/>
      <c r="H68" s="80"/>
      <c r="I68" s="91"/>
    </row>
    <row r="69" spans="1:10" ht="13.2" customHeight="1">
      <c r="A69" s="204"/>
      <c r="B69" s="16" t="s">
        <v>216</v>
      </c>
      <c r="C69" s="89">
        <f>C68*$C$39*$D$39*$F$39*$E$39</f>
        <v>0</v>
      </c>
      <c r="D69" s="89">
        <f t="shared" ref="D69:I69" si="4">D68*$C$39*$D$39*$F$39*$E$39</f>
        <v>0</v>
      </c>
      <c r="E69" s="89">
        <f t="shared" si="4"/>
        <v>0</v>
      </c>
      <c r="F69" s="89">
        <f t="shared" si="4"/>
        <v>0</v>
      </c>
      <c r="G69" s="89">
        <f>G68*$C$39*$D$39*$F$39*$E$39</f>
        <v>0</v>
      </c>
      <c r="H69" s="89">
        <f t="shared" si="4"/>
        <v>0</v>
      </c>
      <c r="I69" s="90">
        <f t="shared" si="4"/>
        <v>0</v>
      </c>
    </row>
    <row r="70" spans="1:10" ht="13.2" customHeight="1">
      <c r="A70" s="204"/>
      <c r="B70" s="16" t="s">
        <v>217</v>
      </c>
      <c r="C70" s="80"/>
      <c r="D70" s="80"/>
      <c r="E70" s="80"/>
      <c r="F70" s="80"/>
      <c r="G70" s="80"/>
      <c r="H70" s="80"/>
      <c r="I70" s="91"/>
    </row>
    <row r="71" spans="1:10" ht="13.2" customHeight="1">
      <c r="A71" s="204"/>
      <c r="B71" s="16" t="s">
        <v>218</v>
      </c>
      <c r="C71" s="89">
        <f>C70*$C$40*$D$40*$F$40*$E$40</f>
        <v>0</v>
      </c>
      <c r="D71" s="89">
        <f t="shared" ref="D71:I71" si="5">D70*$C$40*$D$40*$F$40*$E$40</f>
        <v>0</v>
      </c>
      <c r="E71" s="89">
        <f t="shared" si="5"/>
        <v>0</v>
      </c>
      <c r="F71" s="89">
        <f t="shared" si="5"/>
        <v>0</v>
      </c>
      <c r="G71" s="89">
        <f>G70*$C$40*$D$40*$F$40*$E$40</f>
        <v>0</v>
      </c>
      <c r="H71" s="89">
        <f t="shared" si="5"/>
        <v>0</v>
      </c>
      <c r="I71" s="90">
        <f t="shared" si="5"/>
        <v>0</v>
      </c>
    </row>
    <row r="72" spans="1:10" ht="13.2" customHeight="1">
      <c r="A72" s="204"/>
      <c r="B72" s="16" t="s">
        <v>81</v>
      </c>
      <c r="C72" s="80"/>
      <c r="D72" s="80"/>
      <c r="E72" s="80"/>
      <c r="F72" s="80"/>
      <c r="G72" s="80"/>
      <c r="H72" s="80"/>
      <c r="I72" s="91"/>
    </row>
    <row r="73" spans="1:10" ht="13.2" customHeight="1">
      <c r="A73" s="204"/>
      <c r="B73" s="16" t="s">
        <v>82</v>
      </c>
      <c r="C73" s="89">
        <f>C72*C41*D41*F41*E41</f>
        <v>0</v>
      </c>
      <c r="D73" s="89">
        <f>D72*C41*D41*F41*E41</f>
        <v>0</v>
      </c>
      <c r="E73" s="89">
        <f>E72*C41*D41*E41*F41</f>
        <v>0</v>
      </c>
      <c r="F73" s="89">
        <f>F72*C41*D41*F41*E41</f>
        <v>0</v>
      </c>
      <c r="G73" s="89">
        <f>G72*C41*D41*F41*E41</f>
        <v>0</v>
      </c>
      <c r="H73" s="89">
        <f>H72*C41*D41*F41*E41</f>
        <v>0</v>
      </c>
      <c r="I73" s="90">
        <f>I72*C41*D41*F41*E41</f>
        <v>0</v>
      </c>
    </row>
    <row r="74" spans="1:10" ht="13.2" customHeight="1">
      <c r="A74" s="204"/>
      <c r="B74" s="16" t="s">
        <v>83</v>
      </c>
      <c r="C74" s="87">
        <f>SUM(C57,C59,C61,C63,C65,C67,C69,C71,C73)</f>
        <v>0</v>
      </c>
      <c r="D74" s="87">
        <f t="shared" ref="D74:I74" si="6">SUM(D57,D59,D61,D63,D65,D67,D69,D71,D73)</f>
        <v>0</v>
      </c>
      <c r="E74" s="87">
        <f t="shared" si="6"/>
        <v>0</v>
      </c>
      <c r="F74" s="87">
        <f t="shared" si="6"/>
        <v>0</v>
      </c>
      <c r="G74" s="87">
        <f t="shared" si="6"/>
        <v>0</v>
      </c>
      <c r="H74" s="87">
        <f>SUM(H57,H59,H61,H63,H65,H67,H69,H71,H73)</f>
        <v>0</v>
      </c>
      <c r="I74" s="143">
        <f t="shared" si="6"/>
        <v>0</v>
      </c>
      <c r="J74" s="144">
        <f>C74+D74+E74+F74+G74+H74+I74</f>
        <v>0</v>
      </c>
    </row>
    <row r="75" spans="1:10" ht="13.2" customHeight="1">
      <c r="A75" s="107" t="s">
        <v>68</v>
      </c>
      <c r="B75" s="20" t="s">
        <v>84</v>
      </c>
      <c r="C75" s="87">
        <f t="shared" ref="C75:H75" si="7">C55+C74</f>
        <v>0</v>
      </c>
      <c r="D75" s="87">
        <f t="shared" si="7"/>
        <v>0</v>
      </c>
      <c r="E75" s="87">
        <f t="shared" si="7"/>
        <v>0</v>
      </c>
      <c r="F75" s="87">
        <f t="shared" si="7"/>
        <v>0</v>
      </c>
      <c r="G75" s="87">
        <f t="shared" si="7"/>
        <v>0</v>
      </c>
      <c r="H75" s="87">
        <f t="shared" si="7"/>
        <v>0</v>
      </c>
      <c r="I75" s="88">
        <f>I55+I74</f>
        <v>0</v>
      </c>
      <c r="J75" s="92">
        <f>C75+D75+E75+F75+G75+H75+I75</f>
        <v>0</v>
      </c>
    </row>
    <row r="76" spans="1:10" ht="13.2" customHeight="1">
      <c r="A76" s="14"/>
      <c r="B76" s="17"/>
      <c r="C76" s="31"/>
      <c r="D76" s="31"/>
      <c r="E76" s="31"/>
      <c r="F76" s="31"/>
      <c r="G76" s="31"/>
      <c r="H76" s="31"/>
      <c r="I76" s="10"/>
    </row>
    <row r="77" spans="1:10" ht="13.2" customHeight="1">
      <c r="A77" s="108" t="s">
        <v>69</v>
      </c>
      <c r="B77" s="109"/>
      <c r="C77" s="31"/>
      <c r="D77" s="31"/>
      <c r="E77" s="31"/>
      <c r="F77" s="31"/>
      <c r="G77" s="31"/>
      <c r="H77" s="31"/>
      <c r="I77" s="110"/>
    </row>
    <row r="78" spans="1:10" ht="13.2" customHeight="1">
      <c r="A78" s="35" t="s">
        <v>166</v>
      </c>
      <c r="B78" s="164" t="s">
        <v>100</v>
      </c>
      <c r="C78" s="89" t="e">
        <f t="shared" ref="C78:I78" si="8">C75/C49</f>
        <v>#DIV/0!</v>
      </c>
      <c r="D78" s="89" t="e">
        <f t="shared" si="8"/>
        <v>#DIV/0!</v>
      </c>
      <c r="E78" s="89" t="e">
        <f t="shared" si="8"/>
        <v>#DIV/0!</v>
      </c>
      <c r="F78" s="89" t="e">
        <f t="shared" si="8"/>
        <v>#DIV/0!</v>
      </c>
      <c r="G78" s="89" t="e">
        <f t="shared" si="8"/>
        <v>#DIV/0!</v>
      </c>
      <c r="H78" s="89" t="e">
        <f t="shared" si="8"/>
        <v>#DIV/0!</v>
      </c>
      <c r="I78" s="90" t="e">
        <f t="shared" si="8"/>
        <v>#DIV/0!</v>
      </c>
    </row>
    <row r="79" spans="1:10" ht="13.2" customHeight="1">
      <c r="A79" s="114" t="s">
        <v>94</v>
      </c>
      <c r="B79" s="113" t="s">
        <v>155</v>
      </c>
      <c r="C79" s="18">
        <f>VLOOKUP($A$79,'Trieda budovy'!$A$6:$D$10,4,FALSE)</f>
        <v>0</v>
      </c>
      <c r="D79" s="18">
        <f>VLOOKUP($A$79,'Trieda budovy'!$A$6:$D$10,4,FALSE)</f>
        <v>0</v>
      </c>
      <c r="E79" s="18">
        <f>VLOOKUP($A$79,'Trieda budovy'!$A$6:$D$10,4,FALSE)</f>
        <v>0</v>
      </c>
      <c r="F79" s="18">
        <f>VLOOKUP($A$79,'Trieda budovy'!$A$6:$D$10,4,FALSE)</f>
        <v>0</v>
      </c>
      <c r="G79" s="18">
        <f>VLOOKUP($A$79,'Trieda budovy'!$A$6:$D$10,4,FALSE)</f>
        <v>0</v>
      </c>
      <c r="H79" s="18">
        <f>VLOOKUP($A$79,'Trieda budovy'!$A$6:$D$10,4,FALSE)</f>
        <v>0</v>
      </c>
      <c r="I79" s="23">
        <f>VLOOKUP($A$79,'Trieda budovy'!$A$6:$D$10,4,FALSE)</f>
        <v>0</v>
      </c>
    </row>
    <row r="80" spans="1:10" ht="13.2" customHeight="1">
      <c r="A80" s="35"/>
      <c r="B80" s="113" t="s">
        <v>158</v>
      </c>
      <c r="C80" s="89" t="e">
        <f>(C79/3.6)/$G$31</f>
        <v>#DIV/0!</v>
      </c>
      <c r="D80" s="89" t="e">
        <f t="shared" ref="D80:I80" si="9">(D79/3.6)/$G$31</f>
        <v>#DIV/0!</v>
      </c>
      <c r="E80" s="89" t="e">
        <f t="shared" si="9"/>
        <v>#DIV/0!</v>
      </c>
      <c r="F80" s="89" t="e">
        <f t="shared" si="9"/>
        <v>#DIV/0!</v>
      </c>
      <c r="G80" s="89" t="e">
        <f t="shared" si="9"/>
        <v>#DIV/0!</v>
      </c>
      <c r="H80" s="89" t="e">
        <f t="shared" si="9"/>
        <v>#DIV/0!</v>
      </c>
      <c r="I80" s="90" t="e">
        <f t="shared" si="9"/>
        <v>#DIV/0!</v>
      </c>
    </row>
    <row r="81" spans="1:20" ht="13.2" customHeight="1">
      <c r="A81" s="35"/>
      <c r="B81" s="113" t="s">
        <v>101</v>
      </c>
      <c r="C81" s="80">
        <v>1</v>
      </c>
      <c r="D81" s="80">
        <v>1</v>
      </c>
      <c r="E81" s="80">
        <v>1</v>
      </c>
      <c r="F81" s="80">
        <v>1</v>
      </c>
      <c r="G81" s="80">
        <v>1</v>
      </c>
      <c r="H81" s="80">
        <v>1</v>
      </c>
      <c r="I81" s="91">
        <v>1</v>
      </c>
    </row>
    <row r="82" spans="1:20" ht="13.2" customHeight="1">
      <c r="A82" s="35"/>
      <c r="B82" s="113" t="s">
        <v>102</v>
      </c>
      <c r="C82" s="80">
        <v>15</v>
      </c>
      <c r="D82" s="80">
        <v>15</v>
      </c>
      <c r="E82" s="80">
        <v>15</v>
      </c>
      <c r="F82" s="80">
        <v>15</v>
      </c>
      <c r="G82" s="80">
        <v>15</v>
      </c>
      <c r="H82" s="80">
        <v>15</v>
      </c>
      <c r="I82" s="91">
        <v>15</v>
      </c>
    </row>
    <row r="83" spans="1:20" ht="13.2" customHeight="1">
      <c r="A83" s="35"/>
      <c r="B83" s="113" t="s">
        <v>103</v>
      </c>
      <c r="C83" s="89" t="e">
        <f>C81+C80/C82</f>
        <v>#DIV/0!</v>
      </c>
      <c r="D83" s="89" t="e">
        <f t="shared" ref="D83:I83" si="10">D81+D80/D82</f>
        <v>#DIV/0!</v>
      </c>
      <c r="E83" s="89" t="e">
        <f t="shared" si="10"/>
        <v>#DIV/0!</v>
      </c>
      <c r="F83" s="89" t="e">
        <f t="shared" si="10"/>
        <v>#DIV/0!</v>
      </c>
      <c r="G83" s="89" t="e">
        <f t="shared" si="10"/>
        <v>#DIV/0!</v>
      </c>
      <c r="H83" s="89" t="e">
        <f t="shared" si="10"/>
        <v>#DIV/0!</v>
      </c>
      <c r="I83" s="90" t="e">
        <f t="shared" si="10"/>
        <v>#DIV/0!</v>
      </c>
    </row>
    <row r="84" spans="1:20" ht="13.2" customHeight="1">
      <c r="A84" s="35"/>
      <c r="B84" s="25" t="s">
        <v>99</v>
      </c>
      <c r="C84" s="93" t="e">
        <f>(1-POWER(C78,C83))/(1-POWER(C78,C83+1))</f>
        <v>#DIV/0!</v>
      </c>
      <c r="D84" s="93" t="e">
        <f t="shared" ref="D84:I84" si="11">(1-POWER(D78,D83))/(1-POWER(D78,D83+1))</f>
        <v>#DIV/0!</v>
      </c>
      <c r="E84" s="93" t="e">
        <f t="shared" si="11"/>
        <v>#DIV/0!</v>
      </c>
      <c r="F84" s="93" t="e">
        <f t="shared" si="11"/>
        <v>#DIV/0!</v>
      </c>
      <c r="G84" s="93" t="e">
        <f t="shared" si="11"/>
        <v>#DIV/0!</v>
      </c>
      <c r="H84" s="93" t="e">
        <f t="shared" si="11"/>
        <v>#DIV/0!</v>
      </c>
      <c r="I84" s="145" t="e">
        <f t="shared" si="11"/>
        <v>#DIV/0!</v>
      </c>
      <c r="J84" s="144" t="e">
        <f>(C84+D84+E84+F84+G84+H84+I84)/7</f>
        <v>#DIV/0!</v>
      </c>
    </row>
    <row r="85" spans="1:20" ht="13.2" customHeight="1">
      <c r="A85" s="35"/>
      <c r="B85" s="17"/>
      <c r="C85" s="22"/>
      <c r="D85" s="22"/>
      <c r="E85" s="22"/>
      <c r="F85" s="22"/>
      <c r="G85" s="22"/>
      <c r="H85" s="22"/>
      <c r="I85" s="24"/>
    </row>
    <row r="86" spans="1:20" ht="18.75" customHeight="1">
      <c r="A86" s="282" t="s">
        <v>148</v>
      </c>
      <c r="B86" s="283"/>
      <c r="C86" s="87" t="e">
        <f>C49-C84*C75</f>
        <v>#DIV/0!</v>
      </c>
      <c r="D86" s="87" t="e">
        <f t="shared" ref="D86:H86" si="12">D49-D84*D75</f>
        <v>#DIV/0!</v>
      </c>
      <c r="E86" s="87" t="e">
        <f t="shared" si="12"/>
        <v>#DIV/0!</v>
      </c>
      <c r="F86" s="87" t="e">
        <f t="shared" si="12"/>
        <v>#DIV/0!</v>
      </c>
      <c r="G86" s="87" t="e">
        <f t="shared" si="12"/>
        <v>#DIV/0!</v>
      </c>
      <c r="H86" s="87" t="e">
        <f t="shared" si="12"/>
        <v>#DIV/0!</v>
      </c>
      <c r="I86" s="88" t="e">
        <f>I49-I84*I75</f>
        <v>#DIV/0!</v>
      </c>
      <c r="K86" s="36"/>
    </row>
    <row r="87" spans="1:20" ht="18.75" customHeight="1">
      <c r="A87" s="282"/>
      <c r="B87" s="283"/>
      <c r="C87" s="280" t="e">
        <f>C86+D86+E86+F86+G86+H86+I86</f>
        <v>#DIV/0!</v>
      </c>
      <c r="D87" s="280"/>
      <c r="E87" s="280"/>
      <c r="F87" s="280"/>
      <c r="G87" s="280"/>
      <c r="H87" s="280"/>
      <c r="I87" s="281"/>
      <c r="K87" s="36"/>
    </row>
    <row r="88" spans="1:20" ht="14.1" customHeight="1">
      <c r="A88" s="295" t="s">
        <v>149</v>
      </c>
      <c r="B88" s="295"/>
      <c r="C88" s="295"/>
      <c r="D88" s="295"/>
      <c r="E88" s="295"/>
      <c r="F88" s="224" t="s">
        <v>126</v>
      </c>
      <c r="G88" s="289" t="e">
        <f>C87/D3</f>
        <v>#DIV/0!</v>
      </c>
      <c r="H88" s="290"/>
      <c r="I88" s="291"/>
      <c r="S88" s="42"/>
      <c r="T88" s="42"/>
    </row>
    <row r="89" spans="1:20" ht="14.1" customHeight="1">
      <c r="A89" s="288" t="s">
        <v>143</v>
      </c>
      <c r="B89" s="288"/>
      <c r="C89" s="288"/>
      <c r="D89" s="288"/>
      <c r="E89" s="288"/>
      <c r="F89" s="224"/>
      <c r="G89" s="292"/>
      <c r="H89" s="293"/>
      <c r="I89" s="294"/>
      <c r="S89" s="42"/>
      <c r="T89" s="42"/>
    </row>
    <row r="90" spans="1:20" ht="14.1" customHeight="1">
      <c r="A90" s="287" t="s">
        <v>150</v>
      </c>
      <c r="B90" s="287"/>
      <c r="C90" s="287"/>
      <c r="D90" s="287"/>
      <c r="E90" s="287"/>
      <c r="F90" s="224" t="s">
        <v>127</v>
      </c>
      <c r="G90" s="289" t="e">
        <f>C87/B3</f>
        <v>#DIV/0!</v>
      </c>
      <c r="H90" s="290"/>
      <c r="I90" s="291"/>
      <c r="S90" s="42"/>
      <c r="T90" s="42"/>
    </row>
    <row r="91" spans="1:20" ht="14.1" customHeight="1">
      <c r="A91" s="288" t="s">
        <v>144</v>
      </c>
      <c r="B91" s="288"/>
      <c r="C91" s="288"/>
      <c r="D91" s="288"/>
      <c r="E91" s="288"/>
      <c r="F91" s="224"/>
      <c r="G91" s="292"/>
      <c r="H91" s="293"/>
      <c r="I91" s="294"/>
      <c r="S91" s="42"/>
      <c r="T91" s="42"/>
    </row>
    <row r="92" spans="1:20" ht="14.1" customHeight="1">
      <c r="A92" s="238" t="s">
        <v>40</v>
      </c>
      <c r="B92" s="239"/>
      <c r="C92" s="28"/>
      <c r="D92" s="28"/>
      <c r="E92" s="29"/>
      <c r="F92" s="41" t="s">
        <v>41</v>
      </c>
      <c r="G92" s="201" t="e">
        <f>D17/B3</f>
        <v>#DIV/0!</v>
      </c>
      <c r="H92" s="202"/>
      <c r="I92" s="203"/>
      <c r="S92" s="26"/>
      <c r="T92" s="26"/>
    </row>
    <row r="93" spans="1:20" ht="24" customHeight="1">
      <c r="F93" s="61"/>
      <c r="G93" s="61"/>
      <c r="H93" s="61"/>
      <c r="I93" s="61"/>
      <c r="J93" s="61"/>
      <c r="K93" s="61"/>
      <c r="L93" s="61"/>
      <c r="M93" s="61"/>
      <c r="N93" s="61"/>
    </row>
    <row r="94" spans="1:20" ht="37.5" customHeight="1">
      <c r="F94" s="61"/>
      <c r="G94" s="61"/>
      <c r="H94" s="61"/>
      <c r="I94" s="61"/>
      <c r="J94" s="61"/>
      <c r="K94" s="61"/>
      <c r="L94" s="61"/>
      <c r="M94" s="61"/>
      <c r="N94" s="61"/>
    </row>
    <row r="95" spans="1:20" ht="10.199999999999999" customHeight="1">
      <c r="F95" s="61"/>
      <c r="G95" s="61"/>
      <c r="H95" s="61"/>
      <c r="I95" s="61"/>
      <c r="J95" s="61"/>
      <c r="K95" s="61"/>
      <c r="L95" s="61"/>
      <c r="M95" s="61"/>
      <c r="N95" s="61"/>
    </row>
    <row r="96" spans="1:20" ht="25.5" customHeight="1">
      <c r="F96" s="61"/>
      <c r="G96" s="61"/>
      <c r="H96" s="61"/>
      <c r="I96" s="61"/>
      <c r="J96" s="61"/>
      <c r="K96" s="61"/>
      <c r="L96" s="61"/>
      <c r="M96" s="61"/>
      <c r="N96" s="61"/>
    </row>
    <row r="97" spans="6:14" ht="12" customHeight="1">
      <c r="F97" s="61"/>
      <c r="G97" s="61"/>
      <c r="H97" s="61"/>
      <c r="I97" s="61"/>
      <c r="J97" s="61"/>
      <c r="K97" s="61"/>
      <c r="L97" s="61"/>
      <c r="M97" s="61"/>
      <c r="N97" s="61"/>
    </row>
    <row r="98" spans="6:14" ht="30" customHeight="1">
      <c r="F98" s="61"/>
      <c r="G98" s="61"/>
      <c r="H98" s="61"/>
      <c r="I98" s="61"/>
      <c r="J98" s="61"/>
      <c r="K98" s="61"/>
      <c r="L98" s="61"/>
      <c r="M98" s="61"/>
      <c r="N98" s="61"/>
    </row>
    <row r="99" spans="6:14" ht="15.75" customHeight="1">
      <c r="F99" s="61"/>
      <c r="G99" s="61"/>
      <c r="H99" s="61"/>
      <c r="I99" s="61"/>
      <c r="J99" s="61"/>
      <c r="K99" s="61"/>
      <c r="L99" s="61"/>
      <c r="M99" s="61"/>
      <c r="N99" s="61"/>
    </row>
    <row r="100" spans="6:14" ht="37.5" customHeight="1"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6:14" ht="17.25" customHeight="1"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6:14" ht="17.25" customHeight="1"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6:14" ht="10.199999999999999" customHeight="1">
      <c r="F103" s="61"/>
      <c r="G103" s="61"/>
      <c r="H103" s="61"/>
      <c r="I103" s="61"/>
      <c r="J103" s="61"/>
      <c r="K103" s="61"/>
      <c r="L103" s="61"/>
      <c r="M103" s="61"/>
      <c r="N103" s="61"/>
    </row>
  </sheetData>
  <mergeCells count="73">
    <mergeCell ref="A2:B2"/>
    <mergeCell ref="C2:D2"/>
    <mergeCell ref="H2:I2"/>
    <mergeCell ref="P2:Z3"/>
    <mergeCell ref="H3:I3"/>
    <mergeCell ref="A16:B16"/>
    <mergeCell ref="C4:E4"/>
    <mergeCell ref="A6:B6"/>
    <mergeCell ref="A7:B7"/>
    <mergeCell ref="A8:B8"/>
    <mergeCell ref="A9:B9"/>
    <mergeCell ref="A10:B10"/>
    <mergeCell ref="A12:B12"/>
    <mergeCell ref="A13:B13"/>
    <mergeCell ref="E13:E15"/>
    <mergeCell ref="A14:B14"/>
    <mergeCell ref="A15:B15"/>
    <mergeCell ref="A17:B17"/>
    <mergeCell ref="A18:B19"/>
    <mergeCell ref="A20:B20"/>
    <mergeCell ref="E20:H20"/>
    <mergeCell ref="I20:I24"/>
    <mergeCell ref="A21:B24"/>
    <mergeCell ref="E21:H21"/>
    <mergeCell ref="E22:H22"/>
    <mergeCell ref="E23:H23"/>
    <mergeCell ref="E24:H24"/>
    <mergeCell ref="I28:I31"/>
    <mergeCell ref="A31:B31"/>
    <mergeCell ref="C31:F31"/>
    <mergeCell ref="G31:H31"/>
    <mergeCell ref="A25:D25"/>
    <mergeCell ref="E25:G25"/>
    <mergeCell ref="A26:D26"/>
    <mergeCell ref="E26:G26"/>
    <mergeCell ref="A27:D27"/>
    <mergeCell ref="E27:G27"/>
    <mergeCell ref="A28:B28"/>
    <mergeCell ref="C28:D30"/>
    <mergeCell ref="E28:E29"/>
    <mergeCell ref="F28:F30"/>
    <mergeCell ref="G28:H30"/>
    <mergeCell ref="P32:AC33"/>
    <mergeCell ref="A43:D43"/>
    <mergeCell ref="A44:A49"/>
    <mergeCell ref="B44:B45"/>
    <mergeCell ref="C44:I44"/>
    <mergeCell ref="A56:A74"/>
    <mergeCell ref="A86:B87"/>
    <mergeCell ref="C87:I87"/>
    <mergeCell ref="A32:B32"/>
    <mergeCell ref="G32:H32"/>
    <mergeCell ref="F51:I51"/>
    <mergeCell ref="C52:D52"/>
    <mergeCell ref="F52:I52"/>
    <mergeCell ref="C53:I53"/>
    <mergeCell ref="A54:B54"/>
    <mergeCell ref="A92:B92"/>
    <mergeCell ref="G92:I92"/>
    <mergeCell ref="H1:I1"/>
    <mergeCell ref="F1:G1"/>
    <mergeCell ref="C1:E1"/>
    <mergeCell ref="A90:E90"/>
    <mergeCell ref="F90:F91"/>
    <mergeCell ref="G90:I91"/>
    <mergeCell ref="A91:E91"/>
    <mergeCell ref="A88:E88"/>
    <mergeCell ref="F88:F89"/>
    <mergeCell ref="G88:I89"/>
    <mergeCell ref="A89:E89"/>
    <mergeCell ref="A50:B50"/>
    <mergeCell ref="A51:A52"/>
    <mergeCell ref="C51:D51"/>
  </mergeCells>
  <phoneticPr fontId="41" type="noConversion"/>
  <pageMargins left="0.7" right="0.7" top="0.75" bottom="0.75" header="0.3" footer="0.3"/>
  <pageSetup paperSize="9" scale="24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</xdr:col>
                    <xdr:colOff>944880</xdr:colOff>
                    <xdr:row>3</xdr:row>
                    <xdr:rowOff>144780</xdr:rowOff>
                  </from>
                  <to>
                    <xdr:col>1</xdr:col>
                    <xdr:colOff>1143000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</xdr:col>
                    <xdr:colOff>944880</xdr:colOff>
                    <xdr:row>2</xdr:row>
                    <xdr:rowOff>144780</xdr:rowOff>
                  </from>
                  <to>
                    <xdr:col>1</xdr:col>
                    <xdr:colOff>1143000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4</xdr:col>
                    <xdr:colOff>22860</xdr:colOff>
                    <xdr:row>17</xdr:row>
                    <xdr:rowOff>22860</xdr:rowOff>
                  </from>
                  <to>
                    <xdr:col>4</xdr:col>
                    <xdr:colOff>868680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4</xdr:col>
                    <xdr:colOff>22860</xdr:colOff>
                    <xdr:row>17</xdr:row>
                    <xdr:rowOff>160020</xdr:rowOff>
                  </from>
                  <to>
                    <xdr:col>4</xdr:col>
                    <xdr:colOff>883920</xdr:colOff>
                    <xdr:row>19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'Trieda budovy'!$A$6:$A$10</xm:f>
          </x14:formula1>
          <xm:sqref>A79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0"/>
  <sheetViews>
    <sheetView zoomScale="85" zoomScaleNormal="85" workbookViewId="0">
      <selection activeCell="F13" sqref="F13"/>
    </sheetView>
  </sheetViews>
  <sheetFormatPr defaultRowHeight="14.4"/>
  <cols>
    <col min="1" max="1" width="15.33203125" customWidth="1"/>
    <col min="2" max="2" width="16.88671875" style="154" bestFit="1" customWidth="1"/>
    <col min="3" max="3" width="11.109375" customWidth="1"/>
    <col min="4" max="4" width="7" bestFit="1" customWidth="1"/>
    <col min="5" max="5" width="1.88671875" customWidth="1"/>
    <col min="6" max="6" width="15.44140625" bestFit="1" customWidth="1"/>
    <col min="7" max="7" width="16.109375" style="154" bestFit="1" customWidth="1"/>
    <col min="9" max="9" width="7" bestFit="1" customWidth="1"/>
    <col min="10" max="10" width="1.6640625" customWidth="1"/>
    <col min="11" max="11" width="25.88671875" bestFit="1" customWidth="1"/>
    <col min="12" max="12" width="10.44140625" style="154" bestFit="1" customWidth="1"/>
    <col min="14" max="14" width="7" bestFit="1" customWidth="1"/>
    <col min="15" max="15" width="1.6640625" customWidth="1"/>
    <col min="16" max="16" width="15.44140625" bestFit="1" customWidth="1"/>
    <col min="17" max="17" width="17" style="154" bestFit="1" customWidth="1"/>
    <col min="19" max="19" width="7" bestFit="1" customWidth="1"/>
    <col min="20" max="20" width="1.6640625" customWidth="1"/>
    <col min="21" max="21" width="15.44140625" bestFit="1" customWidth="1"/>
    <col min="22" max="22" width="14.44140625" style="154" bestFit="1" customWidth="1"/>
    <col min="24" max="24" width="7" bestFit="1" customWidth="1"/>
  </cols>
  <sheetData>
    <row r="1" spans="1:24" ht="22.8">
      <c r="A1" s="132" t="s">
        <v>221</v>
      </c>
      <c r="B1" s="155"/>
      <c r="C1" s="63"/>
      <c r="D1" s="63"/>
      <c r="E1" s="63"/>
      <c r="F1" s="63"/>
    </row>
    <row r="2" spans="1:24">
      <c r="A2" s="111" t="s">
        <v>220</v>
      </c>
    </row>
    <row r="3" spans="1:24">
      <c r="A3" s="111" t="s">
        <v>219</v>
      </c>
    </row>
    <row r="6" spans="1:24">
      <c r="A6" t="s">
        <v>222</v>
      </c>
      <c r="B6" s="151" t="s">
        <v>227</v>
      </c>
      <c r="C6" s="151" t="s">
        <v>54</v>
      </c>
      <c r="D6" s="151" t="s">
        <v>228</v>
      </c>
      <c r="F6" t="s">
        <v>222</v>
      </c>
      <c r="G6" s="120" t="s">
        <v>229</v>
      </c>
      <c r="H6" s="151" t="s">
        <v>54</v>
      </c>
      <c r="I6" s="151" t="s">
        <v>228</v>
      </c>
      <c r="K6" t="s">
        <v>222</v>
      </c>
      <c r="L6" s="120" t="s">
        <v>224</v>
      </c>
      <c r="M6" s="151" t="s">
        <v>54</v>
      </c>
      <c r="N6" s="151" t="s">
        <v>228</v>
      </c>
      <c r="P6" t="s">
        <v>222</v>
      </c>
      <c r="Q6" s="120" t="s">
        <v>225</v>
      </c>
      <c r="R6" s="151" t="s">
        <v>54</v>
      </c>
      <c r="S6" s="151" t="s">
        <v>228</v>
      </c>
      <c r="U6" t="s">
        <v>222</v>
      </c>
      <c r="V6" s="120" t="s">
        <v>226</v>
      </c>
      <c r="W6" s="151" t="s">
        <v>54</v>
      </c>
      <c r="X6" s="151" t="s">
        <v>228</v>
      </c>
    </row>
    <row r="7" spans="1:24">
      <c r="A7" t="s">
        <v>223</v>
      </c>
      <c r="B7" s="151">
        <v>1</v>
      </c>
      <c r="C7" s="152" t="s">
        <v>55</v>
      </c>
      <c r="D7" s="153">
        <f>-0.004*B$8-1.1</f>
        <v>-1.6400000000000001</v>
      </c>
      <c r="F7" t="s">
        <v>223</v>
      </c>
      <c r="G7" s="154">
        <v>2</v>
      </c>
      <c r="H7" s="152" t="s">
        <v>55</v>
      </c>
      <c r="I7" s="153">
        <f>-0.004*G$8-1.8</f>
        <v>-2.58</v>
      </c>
      <c r="K7" t="s">
        <v>223</v>
      </c>
      <c r="L7" s="154">
        <v>2</v>
      </c>
      <c r="M7" s="152" t="s">
        <v>55</v>
      </c>
      <c r="N7" s="153">
        <f>-0.004*L$8-1.8</f>
        <v>-2.5680000000000001</v>
      </c>
      <c r="P7" t="s">
        <v>223</v>
      </c>
      <c r="Q7" s="154">
        <v>1</v>
      </c>
      <c r="R7" s="152" t="s">
        <v>55</v>
      </c>
      <c r="S7" s="153">
        <f>-0.004*Q$8-1.1</f>
        <v>-1.7520000000000002</v>
      </c>
      <c r="U7" t="s">
        <v>223</v>
      </c>
      <c r="V7" s="154">
        <v>2</v>
      </c>
      <c r="W7" s="152" t="s">
        <v>55</v>
      </c>
      <c r="X7" s="153">
        <f>-0.004*V$8-1.8</f>
        <v>-3.26</v>
      </c>
    </row>
    <row r="8" spans="1:24">
      <c r="A8" t="s">
        <v>230</v>
      </c>
      <c r="B8" s="151">
        <v>135</v>
      </c>
      <c r="C8" s="152" t="s">
        <v>56</v>
      </c>
      <c r="D8" s="153">
        <f>-0.005*B$8+1.3</f>
        <v>0.625</v>
      </c>
      <c r="F8" t="s">
        <v>230</v>
      </c>
      <c r="G8" s="151">
        <v>195</v>
      </c>
      <c r="H8" s="152" t="s">
        <v>56</v>
      </c>
      <c r="I8" s="153">
        <f>-0.005*G$8+0.6</f>
        <v>-0.375</v>
      </c>
      <c r="K8" t="s">
        <v>230</v>
      </c>
      <c r="L8" s="154">
        <v>192</v>
      </c>
      <c r="M8" s="152" t="s">
        <v>56</v>
      </c>
      <c r="N8" s="153">
        <f>-0.005*L$8+0.6</f>
        <v>-0.36</v>
      </c>
      <c r="P8" t="s">
        <v>230</v>
      </c>
      <c r="Q8" s="154">
        <v>163</v>
      </c>
      <c r="R8" s="152" t="s">
        <v>56</v>
      </c>
      <c r="S8" s="153">
        <f>-0.005*Q$8+1.3</f>
        <v>0.48499999999999999</v>
      </c>
      <c r="U8" t="s">
        <v>230</v>
      </c>
      <c r="V8" s="154">
        <v>365</v>
      </c>
      <c r="W8" s="152" t="s">
        <v>56</v>
      </c>
      <c r="X8" s="153">
        <f>-0.005*V$8+0.6</f>
        <v>-1.2250000000000001</v>
      </c>
    </row>
    <row r="9" spans="1:24">
      <c r="C9" s="152" t="s">
        <v>57</v>
      </c>
      <c r="D9" s="153">
        <f>-0.006*B$8+6.2</f>
        <v>5.3900000000000006</v>
      </c>
      <c r="H9" s="152" t="s">
        <v>57</v>
      </c>
      <c r="I9" s="153">
        <f>-0.006*G$8+5.3</f>
        <v>4.13</v>
      </c>
      <c r="M9" s="152" t="s">
        <v>57</v>
      </c>
      <c r="N9" s="153">
        <f>-0.006*L$8+5.3</f>
        <v>4.1479999999999997</v>
      </c>
      <c r="R9" s="152" t="s">
        <v>57</v>
      </c>
      <c r="S9" s="153">
        <f>-0.006*Q$8+6.2</f>
        <v>5.2220000000000004</v>
      </c>
      <c r="W9" s="152" t="s">
        <v>57</v>
      </c>
      <c r="X9" s="153">
        <f>-0.006*V$8+5.3</f>
        <v>3.11</v>
      </c>
    </row>
    <row r="10" spans="1:24">
      <c r="C10" s="152" t="s">
        <v>58</v>
      </c>
      <c r="D10" s="153">
        <f>-0.007*B$8+11.7</f>
        <v>10.754999999999999</v>
      </c>
      <c r="H10" s="152" t="s">
        <v>58</v>
      </c>
      <c r="I10" s="153">
        <f>-0.007*G$8+11.1</f>
        <v>9.7349999999999994</v>
      </c>
      <c r="M10" s="152" t="s">
        <v>58</v>
      </c>
      <c r="N10" s="153">
        <f>-0.007*L$8+11.1</f>
        <v>9.7560000000000002</v>
      </c>
      <c r="R10" s="152" t="s">
        <v>58</v>
      </c>
      <c r="S10" s="153">
        <f>-0.007*Q$8+11.7</f>
        <v>10.558999999999999</v>
      </c>
      <c r="W10" s="152" t="s">
        <v>58</v>
      </c>
      <c r="X10" s="153">
        <f>-0.007*V$8+11.1</f>
        <v>8.5449999999999999</v>
      </c>
    </row>
    <row r="11" spans="1:24">
      <c r="C11" s="152" t="s">
        <v>183</v>
      </c>
      <c r="D11" s="153">
        <f>-0.007*B$8+16.6</f>
        <v>15.655000000000001</v>
      </c>
      <c r="H11" s="152" t="s">
        <v>183</v>
      </c>
      <c r="I11" s="153">
        <f>-0.007*G$8+16</f>
        <v>14.635</v>
      </c>
      <c r="M11" s="152" t="s">
        <v>183</v>
      </c>
      <c r="N11" s="153">
        <f>-0.007*L$8+16</f>
        <v>14.656000000000001</v>
      </c>
      <c r="R11" s="152" t="s">
        <v>183</v>
      </c>
      <c r="S11" s="153">
        <f>-0.007*Q$8+16.6</f>
        <v>15.459000000000001</v>
      </c>
      <c r="W11" s="152" t="s">
        <v>183</v>
      </c>
      <c r="X11" s="153">
        <f>-0.007*V$8+16</f>
        <v>13.445</v>
      </c>
    </row>
    <row r="12" spans="1:24">
      <c r="C12" s="152" t="s">
        <v>184</v>
      </c>
      <c r="D12" s="153">
        <f>-0.0075*B$8+19.7</f>
        <v>18.6875</v>
      </c>
      <c r="H12" s="152" t="s">
        <v>184</v>
      </c>
      <c r="I12" s="153">
        <f>-0.0075*G$8+19.1</f>
        <v>17.637500000000003</v>
      </c>
      <c r="M12" s="152" t="s">
        <v>184</v>
      </c>
      <c r="N12" s="153">
        <f>-0.0075*L$8+19.1</f>
        <v>17.66</v>
      </c>
      <c r="R12" s="152" t="s">
        <v>184</v>
      </c>
      <c r="S12" s="153">
        <f>-0.0075*Q$8+19.7</f>
        <v>18.477499999999999</v>
      </c>
      <c r="W12" s="152" t="s">
        <v>184</v>
      </c>
      <c r="X12" s="153">
        <f>-0.0075*V$8+19.1</f>
        <v>16.362500000000001</v>
      </c>
    </row>
    <row r="13" spans="1:24">
      <c r="C13" s="152" t="s">
        <v>185</v>
      </c>
      <c r="D13" s="153">
        <f>-0.0075*B$8+21.4</f>
        <v>20.387499999999999</v>
      </c>
      <c r="H13" s="152" t="s">
        <v>185</v>
      </c>
      <c r="I13" s="153">
        <f>-0.0075*G$8+20.7</f>
        <v>19.237500000000001</v>
      </c>
      <c r="M13" s="152" t="s">
        <v>185</v>
      </c>
      <c r="N13" s="153">
        <f>-0.0075*L$8+20.7</f>
        <v>19.259999999999998</v>
      </c>
      <c r="R13" s="152" t="s">
        <v>185</v>
      </c>
      <c r="S13" s="153">
        <f>-0.0075*Q$8+21.4</f>
        <v>20.177499999999998</v>
      </c>
      <c r="W13" s="152" t="s">
        <v>185</v>
      </c>
      <c r="X13" s="153">
        <f>-0.0075*V$8+20.7</f>
        <v>17.962499999999999</v>
      </c>
    </row>
    <row r="14" spans="1:24">
      <c r="C14" s="152" t="s">
        <v>186</v>
      </c>
      <c r="D14" s="153">
        <f>-0.0075*B$8+20.8</f>
        <v>19.787500000000001</v>
      </c>
      <c r="H14" s="152" t="s">
        <v>186</v>
      </c>
      <c r="I14" s="153">
        <f>-0.0075*G$8+20.1</f>
        <v>18.637500000000003</v>
      </c>
      <c r="M14" s="152" t="s">
        <v>186</v>
      </c>
      <c r="N14" s="153">
        <f>-0.0075*L$8+20.1</f>
        <v>18.66</v>
      </c>
      <c r="R14" s="152" t="s">
        <v>186</v>
      </c>
      <c r="S14" s="153">
        <f>-0.0075*Q$8+20.8</f>
        <v>19.577500000000001</v>
      </c>
      <c r="W14" s="152" t="s">
        <v>186</v>
      </c>
      <c r="X14" s="153">
        <f>-0.0075*V$8+20.1</f>
        <v>17.362500000000001</v>
      </c>
    </row>
    <row r="15" spans="1:24">
      <c r="C15" s="152" t="s">
        <v>187</v>
      </c>
      <c r="D15" s="153">
        <f>-0.0065*B$8+16.3</f>
        <v>15.422500000000001</v>
      </c>
      <c r="H15" s="152" t="s">
        <v>187</v>
      </c>
      <c r="I15" s="153">
        <f>-0.0065*G$8+15.7</f>
        <v>14.432499999999999</v>
      </c>
      <c r="M15" s="152" t="s">
        <v>187</v>
      </c>
      <c r="N15" s="153">
        <f>-0.0065*L$8+15.7</f>
        <v>14.452</v>
      </c>
      <c r="R15" s="152" t="s">
        <v>187</v>
      </c>
      <c r="S15" s="153">
        <f>-0.0065*Q$8+16.3</f>
        <v>15.240500000000001</v>
      </c>
      <c r="W15" s="152" t="s">
        <v>187</v>
      </c>
      <c r="X15" s="153">
        <f>-0.0065*V$8+15.7</f>
        <v>13.327499999999999</v>
      </c>
    </row>
    <row r="16" spans="1:24">
      <c r="C16" s="152" t="s">
        <v>59</v>
      </c>
      <c r="D16" s="153">
        <f>-0.005*B$8+10.7</f>
        <v>10.024999999999999</v>
      </c>
      <c r="H16" s="152" t="s">
        <v>59</v>
      </c>
      <c r="I16" s="153">
        <f>-0.005*G$8+10.2</f>
        <v>9.2249999999999996</v>
      </c>
      <c r="M16" s="152" t="s">
        <v>59</v>
      </c>
      <c r="N16" s="153">
        <f>-0.005*L$8+10.2</f>
        <v>9.2399999999999984</v>
      </c>
      <c r="R16" s="152" t="s">
        <v>59</v>
      </c>
      <c r="S16" s="153">
        <f>-0.005*Q$8+10.7</f>
        <v>9.8849999999999998</v>
      </c>
      <c r="W16" s="152" t="s">
        <v>59</v>
      </c>
      <c r="X16" s="153">
        <f>-0.005*V$8+10.2</f>
        <v>8.375</v>
      </c>
    </row>
    <row r="17" spans="1:24">
      <c r="C17" s="152" t="s">
        <v>60</v>
      </c>
      <c r="D17" s="153">
        <f>-0.0045*B$8+5.1</f>
        <v>4.4924999999999997</v>
      </c>
      <c r="H17" s="152" t="s">
        <v>60</v>
      </c>
      <c r="I17" s="153">
        <f>-0.0045*G$8+4.7</f>
        <v>3.8225000000000002</v>
      </c>
      <c r="M17" s="152" t="s">
        <v>60</v>
      </c>
      <c r="N17" s="153">
        <f>-0.0045*L$8+4.7</f>
        <v>3.8360000000000003</v>
      </c>
      <c r="R17" s="152" t="s">
        <v>60</v>
      </c>
      <c r="S17" s="153">
        <f>-0.0045*Q$8+5.1</f>
        <v>4.3664999999999994</v>
      </c>
      <c r="W17" s="152" t="s">
        <v>60</v>
      </c>
      <c r="X17" s="153">
        <f>-0.0045*V$8+4.7</f>
        <v>3.0575000000000001</v>
      </c>
    </row>
    <row r="18" spans="1:24">
      <c r="C18" s="152" t="s">
        <v>61</v>
      </c>
      <c r="D18" s="153">
        <f>-0.0045*B$8+0.5</f>
        <v>-0.10749999999999993</v>
      </c>
      <c r="H18" s="152" t="s">
        <v>61</v>
      </c>
      <c r="I18" s="153">
        <f>-0.0045*G$8+0.1</f>
        <v>-0.77749999999999997</v>
      </c>
      <c r="M18" s="152" t="s">
        <v>61</v>
      </c>
      <c r="N18" s="153">
        <f>-0.0045*L$8+0.1</f>
        <v>-0.7639999999999999</v>
      </c>
      <c r="R18" s="152" t="s">
        <v>61</v>
      </c>
      <c r="S18" s="153">
        <f>-0.0045*Q$8+0.5</f>
        <v>-0.23349999999999993</v>
      </c>
      <c r="W18" s="152" t="s">
        <v>61</v>
      </c>
      <c r="X18" s="153">
        <f>-0.0045*V$8+0.1</f>
        <v>-1.5424999999999998</v>
      </c>
    </row>
    <row r="20" spans="1:24">
      <c r="A20" t="s">
        <v>222</v>
      </c>
      <c r="B20" s="120" t="s">
        <v>188</v>
      </c>
      <c r="C20" s="151" t="s">
        <v>54</v>
      </c>
      <c r="D20" s="151" t="s">
        <v>228</v>
      </c>
      <c r="F20" t="s">
        <v>222</v>
      </c>
      <c r="G20" s="120" t="s">
        <v>189</v>
      </c>
      <c r="H20" s="151" t="s">
        <v>54</v>
      </c>
      <c r="I20" s="151" t="s">
        <v>228</v>
      </c>
      <c r="K20" t="s">
        <v>222</v>
      </c>
      <c r="L20" s="120" t="s">
        <v>190</v>
      </c>
      <c r="M20" s="151" t="s">
        <v>54</v>
      </c>
      <c r="N20" s="151" t="s">
        <v>228</v>
      </c>
      <c r="P20" t="s">
        <v>222</v>
      </c>
      <c r="Q20" s="120" t="s">
        <v>191</v>
      </c>
      <c r="R20" s="151" t="s">
        <v>54</v>
      </c>
      <c r="S20" s="151" t="s">
        <v>228</v>
      </c>
      <c r="U20" t="s">
        <v>222</v>
      </c>
      <c r="V20" s="120" t="s">
        <v>192</v>
      </c>
      <c r="W20" s="151" t="s">
        <v>54</v>
      </c>
      <c r="X20" s="151" t="s">
        <v>228</v>
      </c>
    </row>
    <row r="21" spans="1:24">
      <c r="A21" t="s">
        <v>223</v>
      </c>
      <c r="B21" s="120">
        <v>2</v>
      </c>
      <c r="C21" s="152" t="s">
        <v>55</v>
      </c>
      <c r="D21" s="153">
        <f>-0.004*B$22-1.8</f>
        <v>-3.6720000000000002</v>
      </c>
      <c r="F21" t="s">
        <v>223</v>
      </c>
      <c r="G21" s="120">
        <v>2</v>
      </c>
      <c r="H21" s="152" t="s">
        <v>55</v>
      </c>
      <c r="I21" s="153">
        <f>-0.004*G$22-1.8</f>
        <v>-3.516</v>
      </c>
      <c r="K21" t="s">
        <v>223</v>
      </c>
      <c r="L21" s="120">
        <v>2</v>
      </c>
      <c r="M21" s="152" t="s">
        <v>55</v>
      </c>
      <c r="N21" s="153">
        <f>-0.004*L$22-1.8</f>
        <v>-2.2200000000000002</v>
      </c>
      <c r="P21" t="s">
        <v>223</v>
      </c>
      <c r="Q21" s="120">
        <v>2</v>
      </c>
      <c r="R21" s="152" t="s">
        <v>55</v>
      </c>
      <c r="S21" s="153">
        <f>-0.004*Q$22-1.8</f>
        <v>-3.02</v>
      </c>
      <c r="U21" t="s">
        <v>223</v>
      </c>
      <c r="V21" s="120">
        <v>2</v>
      </c>
      <c r="W21" s="152" t="s">
        <v>55</v>
      </c>
      <c r="X21" s="153">
        <f>-0.004*V$22-1.8</f>
        <v>-3.028</v>
      </c>
    </row>
    <row r="22" spans="1:24">
      <c r="A22" t="s">
        <v>230</v>
      </c>
      <c r="B22" s="154">
        <v>468</v>
      </c>
      <c r="C22" s="152" t="s">
        <v>56</v>
      </c>
      <c r="D22" s="153">
        <f>-0.005*B$22+0.6</f>
        <v>-1.7399999999999998</v>
      </c>
      <c r="F22" t="s">
        <v>230</v>
      </c>
      <c r="G22" s="154">
        <v>429</v>
      </c>
      <c r="H22" s="152" t="s">
        <v>56</v>
      </c>
      <c r="I22" s="153">
        <f>-0.005*G$22+0.6</f>
        <v>-1.5449999999999999</v>
      </c>
      <c r="K22" t="s">
        <v>230</v>
      </c>
      <c r="L22" s="154">
        <v>105</v>
      </c>
      <c r="M22" s="152" t="s">
        <v>56</v>
      </c>
      <c r="N22" s="153">
        <f>-0.005*L$22+0.6</f>
        <v>7.4999999999999956E-2</v>
      </c>
      <c r="P22" t="s">
        <v>230</v>
      </c>
      <c r="Q22" s="154">
        <v>305</v>
      </c>
      <c r="R22" s="152" t="s">
        <v>56</v>
      </c>
      <c r="S22" s="153">
        <f>-0.005*Q$22+0.6</f>
        <v>-0.92500000000000016</v>
      </c>
      <c r="U22" t="s">
        <v>230</v>
      </c>
      <c r="V22" s="154">
        <v>307</v>
      </c>
      <c r="W22" s="152" t="s">
        <v>56</v>
      </c>
      <c r="X22" s="153">
        <f>-0.005*V$22+0.6</f>
        <v>-0.93500000000000016</v>
      </c>
    </row>
    <row r="23" spans="1:24">
      <c r="C23" s="152" t="s">
        <v>57</v>
      </c>
      <c r="D23" s="153">
        <f>-0.006*B$22+5.3</f>
        <v>2.4919999999999995</v>
      </c>
      <c r="H23" s="152" t="s">
        <v>57</v>
      </c>
      <c r="I23" s="153">
        <f>-0.006*G$22+5.3</f>
        <v>2.726</v>
      </c>
      <c r="M23" s="152" t="s">
        <v>57</v>
      </c>
      <c r="N23" s="153">
        <f>-0.006*L$22+5.3</f>
        <v>4.67</v>
      </c>
      <c r="R23" s="152" t="s">
        <v>57</v>
      </c>
      <c r="S23" s="153">
        <f>-0.006*Q$22+5.3</f>
        <v>3.4699999999999998</v>
      </c>
      <c r="W23" s="152" t="s">
        <v>57</v>
      </c>
      <c r="X23" s="153">
        <f>-0.006*V$22+5.3</f>
        <v>3.4579999999999997</v>
      </c>
    </row>
    <row r="24" spans="1:24">
      <c r="C24" s="152" t="s">
        <v>58</v>
      </c>
      <c r="D24" s="153">
        <f>-0.007*B$22+11.1</f>
        <v>7.8239999999999998</v>
      </c>
      <c r="H24" s="152" t="s">
        <v>58</v>
      </c>
      <c r="I24" s="153">
        <f>-0.007*G$22+11.1</f>
        <v>8.0969999999999995</v>
      </c>
      <c r="M24" s="152" t="s">
        <v>58</v>
      </c>
      <c r="N24" s="153">
        <f>-0.007*L$22+11.1</f>
        <v>10.365</v>
      </c>
      <c r="R24" s="152" t="s">
        <v>58</v>
      </c>
      <c r="S24" s="153">
        <f>-0.007*Q$22+11.1</f>
        <v>8.9649999999999999</v>
      </c>
      <c r="W24" s="152" t="s">
        <v>58</v>
      </c>
      <c r="X24" s="153">
        <f>-0.007*V$22+11.1</f>
        <v>8.9510000000000005</v>
      </c>
    </row>
    <row r="25" spans="1:24">
      <c r="C25" s="152" t="s">
        <v>183</v>
      </c>
      <c r="D25" s="153">
        <f>-0.007*B$22+16</f>
        <v>12.724</v>
      </c>
      <c r="H25" s="152" t="s">
        <v>183</v>
      </c>
      <c r="I25" s="153">
        <f>-0.007*G$22+16</f>
        <v>12.997</v>
      </c>
      <c r="M25" s="152" t="s">
        <v>183</v>
      </c>
      <c r="N25" s="153">
        <f>-0.007*L$22+16</f>
        <v>15.265000000000001</v>
      </c>
      <c r="R25" s="152" t="s">
        <v>183</v>
      </c>
      <c r="S25" s="153">
        <f>-0.007*Q$22+16</f>
        <v>13.865</v>
      </c>
      <c r="W25" s="152" t="s">
        <v>183</v>
      </c>
      <c r="X25" s="153">
        <f>-0.007*V$22+16</f>
        <v>13.850999999999999</v>
      </c>
    </row>
    <row r="26" spans="1:24">
      <c r="C26" s="152" t="s">
        <v>184</v>
      </c>
      <c r="D26" s="153">
        <f>-0.0075*B$22+19.1</f>
        <v>15.590000000000002</v>
      </c>
      <c r="H26" s="152" t="s">
        <v>184</v>
      </c>
      <c r="I26" s="153">
        <f>-0.0075*G$22+19.1</f>
        <v>15.882500000000002</v>
      </c>
      <c r="M26" s="152" t="s">
        <v>184</v>
      </c>
      <c r="N26" s="153">
        <f>-0.0075*L$22+19.1</f>
        <v>18.3125</v>
      </c>
      <c r="R26" s="152" t="s">
        <v>184</v>
      </c>
      <c r="S26" s="153">
        <f>-0.0075*Q$22+19.1</f>
        <v>16.8125</v>
      </c>
      <c r="W26" s="152" t="s">
        <v>184</v>
      </c>
      <c r="X26" s="153">
        <f>-0.0075*V$22+19.1</f>
        <v>16.797500000000003</v>
      </c>
    </row>
    <row r="27" spans="1:24">
      <c r="C27" s="152" t="s">
        <v>185</v>
      </c>
      <c r="D27" s="153">
        <f>-0.0075*B$22+20.7</f>
        <v>17.189999999999998</v>
      </c>
      <c r="H27" s="152" t="s">
        <v>185</v>
      </c>
      <c r="I27" s="153">
        <f>-0.0075*G$22+20.7</f>
        <v>17.482499999999998</v>
      </c>
      <c r="M27" s="152" t="s">
        <v>185</v>
      </c>
      <c r="N27" s="153">
        <f>-0.0075*L$22+20.7</f>
        <v>19.912499999999998</v>
      </c>
      <c r="R27" s="152" t="s">
        <v>185</v>
      </c>
      <c r="S27" s="153">
        <f>-0.0075*Q$22+20.7</f>
        <v>18.412499999999998</v>
      </c>
      <c r="W27" s="152" t="s">
        <v>185</v>
      </c>
      <c r="X27" s="153">
        <f>-0.0075*V$22+20.7</f>
        <v>18.397500000000001</v>
      </c>
    </row>
    <row r="28" spans="1:24">
      <c r="C28" s="152" t="s">
        <v>186</v>
      </c>
      <c r="D28" s="153">
        <f>-0.0075*B$22+20.1</f>
        <v>16.590000000000003</v>
      </c>
      <c r="H28" s="152" t="s">
        <v>186</v>
      </c>
      <c r="I28" s="153">
        <f>-0.0075*G$22+20.1</f>
        <v>16.8825</v>
      </c>
      <c r="M28" s="152" t="s">
        <v>186</v>
      </c>
      <c r="N28" s="153">
        <f>-0.0075*L$22+20.1</f>
        <v>19.3125</v>
      </c>
      <c r="R28" s="152" t="s">
        <v>186</v>
      </c>
      <c r="S28" s="153">
        <f>-0.0075*Q$22+20.1</f>
        <v>17.8125</v>
      </c>
      <c r="W28" s="152" t="s">
        <v>186</v>
      </c>
      <c r="X28" s="153">
        <f>-0.0075*V$22+20.1</f>
        <v>17.797500000000003</v>
      </c>
    </row>
    <row r="29" spans="1:24">
      <c r="C29" s="152" t="s">
        <v>187</v>
      </c>
      <c r="D29" s="153">
        <f>-0.0065*B$22+15.7</f>
        <v>12.657999999999999</v>
      </c>
      <c r="H29" s="152" t="s">
        <v>187</v>
      </c>
      <c r="I29" s="153">
        <f>-0.0065*G$22+15.7</f>
        <v>12.9115</v>
      </c>
      <c r="M29" s="152" t="s">
        <v>187</v>
      </c>
      <c r="N29" s="153">
        <f>-0.0065*L$22+15.7</f>
        <v>15.0175</v>
      </c>
      <c r="R29" s="152" t="s">
        <v>187</v>
      </c>
      <c r="S29" s="153">
        <f>-0.0065*Q$22+15.7</f>
        <v>13.717499999999999</v>
      </c>
      <c r="W29" s="152" t="s">
        <v>187</v>
      </c>
      <c r="X29" s="153">
        <f>-0.0065*V$22+15.7</f>
        <v>13.704499999999999</v>
      </c>
    </row>
    <row r="30" spans="1:24">
      <c r="C30" s="152" t="s">
        <v>59</v>
      </c>
      <c r="D30" s="153">
        <f>-0.005*B$22+10.2</f>
        <v>7.8599999999999994</v>
      </c>
      <c r="H30" s="152" t="s">
        <v>59</v>
      </c>
      <c r="I30" s="153">
        <f>-0.005*G$22+10.2</f>
        <v>8.0549999999999997</v>
      </c>
      <c r="M30" s="152" t="s">
        <v>59</v>
      </c>
      <c r="N30" s="153">
        <f>-0.005*L$22+10.2</f>
        <v>9.6749999999999989</v>
      </c>
      <c r="R30" s="152" t="s">
        <v>59</v>
      </c>
      <c r="S30" s="153">
        <f>-0.005*Q$22+10.2</f>
        <v>8.6749999999999989</v>
      </c>
      <c r="W30" s="152" t="s">
        <v>59</v>
      </c>
      <c r="X30" s="153">
        <f>-0.005*V$22+10.2</f>
        <v>8.6649999999999991</v>
      </c>
    </row>
    <row r="31" spans="1:24">
      <c r="C31" s="152" t="s">
        <v>60</v>
      </c>
      <c r="D31" s="153">
        <f>-0.0045*B$22+4.7</f>
        <v>2.5940000000000003</v>
      </c>
      <c r="H31" s="152" t="s">
        <v>60</v>
      </c>
      <c r="I31" s="153">
        <f>-0.0045*G$22+4.7</f>
        <v>2.7695000000000003</v>
      </c>
      <c r="M31" s="152" t="s">
        <v>60</v>
      </c>
      <c r="N31" s="153">
        <f>-0.0045*L$22+4.7</f>
        <v>4.2275</v>
      </c>
      <c r="R31" s="152" t="s">
        <v>60</v>
      </c>
      <c r="S31" s="153">
        <f>-0.0045*Q$22+4.7</f>
        <v>3.3275000000000006</v>
      </c>
      <c r="W31" s="152" t="s">
        <v>60</v>
      </c>
      <c r="X31" s="153">
        <f>-0.0045*V$22+4.7</f>
        <v>3.3185000000000002</v>
      </c>
    </row>
    <row r="32" spans="1:24">
      <c r="C32" s="152" t="s">
        <v>61</v>
      </c>
      <c r="D32" s="153">
        <f>-0.0045*B$22+0.1</f>
        <v>-2.0059999999999998</v>
      </c>
      <c r="H32" s="152" t="s">
        <v>61</v>
      </c>
      <c r="I32" s="153">
        <f>-0.0045*G$22+0.1</f>
        <v>-1.8304999999999998</v>
      </c>
      <c r="M32" s="152" t="s">
        <v>61</v>
      </c>
      <c r="N32" s="153">
        <f>-0.0045*L$22+0.1</f>
        <v>-0.37249999999999994</v>
      </c>
      <c r="R32" s="152" t="s">
        <v>61</v>
      </c>
      <c r="S32" s="153">
        <f>-0.0045*Q$22+0.1</f>
        <v>-1.2724999999999997</v>
      </c>
      <c r="W32" s="152" t="s">
        <v>61</v>
      </c>
      <c r="X32" s="153">
        <f>-0.0045*V$22+0.1</f>
        <v>-1.2814999999999999</v>
      </c>
    </row>
    <row r="33" spans="1:24">
      <c r="F33" s="117"/>
    </row>
    <row r="34" spans="1:24">
      <c r="A34" t="s">
        <v>222</v>
      </c>
      <c r="B34" s="120" t="s">
        <v>193</v>
      </c>
      <c r="C34" s="151" t="s">
        <v>54</v>
      </c>
      <c r="D34" s="151" t="s">
        <v>228</v>
      </c>
      <c r="F34" t="s">
        <v>222</v>
      </c>
      <c r="G34" s="120" t="s">
        <v>194</v>
      </c>
      <c r="H34" s="151" t="s">
        <v>54</v>
      </c>
      <c r="I34" s="151" t="s">
        <v>228</v>
      </c>
      <c r="K34" t="s">
        <v>222</v>
      </c>
      <c r="L34" s="120" t="s">
        <v>197</v>
      </c>
      <c r="M34" s="151" t="s">
        <v>54</v>
      </c>
      <c r="N34" s="151" t="s">
        <v>228</v>
      </c>
      <c r="P34" t="s">
        <v>222</v>
      </c>
      <c r="Q34" s="120" t="s">
        <v>195</v>
      </c>
      <c r="R34" s="151" t="s">
        <v>54</v>
      </c>
      <c r="S34" s="151" t="s">
        <v>228</v>
      </c>
      <c r="U34" t="s">
        <v>222</v>
      </c>
      <c r="V34" s="120" t="s">
        <v>196</v>
      </c>
      <c r="W34" s="151" t="s">
        <v>54</v>
      </c>
      <c r="X34" s="151" t="s">
        <v>228</v>
      </c>
    </row>
    <row r="35" spans="1:24">
      <c r="A35" t="s">
        <v>223</v>
      </c>
      <c r="B35" s="120">
        <v>1</v>
      </c>
      <c r="C35" s="152" t="s">
        <v>55</v>
      </c>
      <c r="D35" s="153">
        <f>-0.004*B$36-1.1</f>
        <v>-1.6320000000000001</v>
      </c>
      <c r="F35" t="s">
        <v>223</v>
      </c>
      <c r="G35" s="120">
        <v>2</v>
      </c>
      <c r="H35" s="152" t="s">
        <v>55</v>
      </c>
      <c r="I35" s="153">
        <f>-0.004*G$36-1.8</f>
        <v>-2.72</v>
      </c>
      <c r="K35" t="s">
        <v>223</v>
      </c>
      <c r="L35" s="120">
        <v>3</v>
      </c>
      <c r="M35" s="152" t="s">
        <v>55</v>
      </c>
      <c r="N35" s="153">
        <f>-0.004*L$36-2.5</f>
        <v>-5.2759999999999998</v>
      </c>
      <c r="P35" t="s">
        <v>223</v>
      </c>
      <c r="Q35" s="120">
        <v>2</v>
      </c>
      <c r="R35" s="152" t="s">
        <v>55</v>
      </c>
      <c r="S35" s="153">
        <f>-0.004*Q$36-1.8</f>
        <v>-4.0760000000000005</v>
      </c>
      <c r="U35" t="s">
        <v>223</v>
      </c>
      <c r="V35" s="120">
        <v>3</v>
      </c>
      <c r="W35" s="152" t="s">
        <v>55</v>
      </c>
      <c r="X35" s="153">
        <f>-0.004*V$36-2.5</f>
        <v>-5.62</v>
      </c>
    </row>
    <row r="36" spans="1:24">
      <c r="A36" t="s">
        <v>230</v>
      </c>
      <c r="B36" s="154">
        <v>133</v>
      </c>
      <c r="C36" s="152" t="s">
        <v>56</v>
      </c>
      <c r="D36" s="153">
        <f>-0.005*B$36+1.3</f>
        <v>0.63500000000000001</v>
      </c>
      <c r="F36" t="s">
        <v>230</v>
      </c>
      <c r="G36" s="154">
        <v>230</v>
      </c>
      <c r="H36" s="152" t="s">
        <v>56</v>
      </c>
      <c r="I36" s="153">
        <f>-0.005*G$36+0.6</f>
        <v>-0.55000000000000016</v>
      </c>
      <c r="K36" t="s">
        <v>230</v>
      </c>
      <c r="L36" s="154">
        <v>694</v>
      </c>
      <c r="M36" s="152" t="s">
        <v>56</v>
      </c>
      <c r="N36" s="153">
        <f>-0.005*L$36-0.1</f>
        <v>-3.5700000000000003</v>
      </c>
      <c r="P36" t="s">
        <v>230</v>
      </c>
      <c r="Q36" s="154">
        <v>569</v>
      </c>
      <c r="R36" s="152" t="s">
        <v>56</v>
      </c>
      <c r="S36" s="153">
        <f>-0.005*Q$36+0.6</f>
        <v>-2.2450000000000001</v>
      </c>
      <c r="U36" t="s">
        <v>230</v>
      </c>
      <c r="V36" s="154">
        <v>780</v>
      </c>
      <c r="W36" s="152" t="s">
        <v>56</v>
      </c>
      <c r="X36" s="153">
        <f>-0.005*V$36-0.1</f>
        <v>-4</v>
      </c>
    </row>
    <row r="37" spans="1:24">
      <c r="C37" s="152" t="s">
        <v>57</v>
      </c>
      <c r="D37" s="153">
        <f>-0.006*B$36+6.2</f>
        <v>5.4020000000000001</v>
      </c>
      <c r="H37" s="152" t="s">
        <v>57</v>
      </c>
      <c r="I37" s="153">
        <f>-0.006*G$36+5.3</f>
        <v>3.92</v>
      </c>
      <c r="M37" s="152" t="s">
        <v>57</v>
      </c>
      <c r="N37" s="153">
        <f>-0.006*L$36+4.4</f>
        <v>0.23600000000000065</v>
      </c>
      <c r="R37" s="152" t="s">
        <v>57</v>
      </c>
      <c r="S37" s="153">
        <f>-0.006*Q$36+5.3</f>
        <v>1.8859999999999997</v>
      </c>
      <c r="W37" s="152" t="s">
        <v>57</v>
      </c>
      <c r="X37" s="153">
        <f>-0.006*V$36+4.4</f>
        <v>-0.27999999999999936</v>
      </c>
    </row>
    <row r="38" spans="1:24">
      <c r="C38" s="152" t="s">
        <v>58</v>
      </c>
      <c r="D38" s="153">
        <f>-0.007*B$36+11.7</f>
        <v>10.768999999999998</v>
      </c>
      <c r="H38" s="152" t="s">
        <v>58</v>
      </c>
      <c r="I38" s="153">
        <f>-0.007*G$36+11.1</f>
        <v>9.49</v>
      </c>
      <c r="M38" s="152" t="s">
        <v>58</v>
      </c>
      <c r="N38" s="153">
        <f>-0.007*L$36+10.4</f>
        <v>5.5419999999999998</v>
      </c>
      <c r="R38" s="152" t="s">
        <v>58</v>
      </c>
      <c r="S38" s="153">
        <f>-0.007*Q$36+11.1</f>
        <v>7.1169999999999991</v>
      </c>
      <c r="W38" s="152" t="s">
        <v>58</v>
      </c>
      <c r="X38" s="153">
        <f>-0.007*V$36+10.4</f>
        <v>4.9400000000000004</v>
      </c>
    </row>
    <row r="39" spans="1:24">
      <c r="C39" s="152" t="s">
        <v>183</v>
      </c>
      <c r="D39" s="153">
        <f>-0.007*B$36+16.6</f>
        <v>15.669</v>
      </c>
      <c r="H39" s="152" t="s">
        <v>183</v>
      </c>
      <c r="I39" s="153">
        <f>-0.007*G$36+16</f>
        <v>14.39</v>
      </c>
      <c r="M39" s="152" t="s">
        <v>183</v>
      </c>
      <c r="N39" s="153">
        <f>-0.007*L$36+15.4</f>
        <v>10.542</v>
      </c>
      <c r="R39" s="152" t="s">
        <v>183</v>
      </c>
      <c r="S39" s="153">
        <f>-0.007*Q$36+16</f>
        <v>12.016999999999999</v>
      </c>
      <c r="W39" s="152" t="s">
        <v>183</v>
      </c>
      <c r="X39" s="153">
        <f>-0.007*V$36+15.4</f>
        <v>9.9400000000000013</v>
      </c>
    </row>
    <row r="40" spans="1:24">
      <c r="C40" s="152" t="s">
        <v>184</v>
      </c>
      <c r="D40" s="153">
        <f>-0.0075*B$36+19.7</f>
        <v>18.702500000000001</v>
      </c>
      <c r="H40" s="152" t="s">
        <v>184</v>
      </c>
      <c r="I40" s="153">
        <f>-0.0075*G$36+19.1</f>
        <v>17.375</v>
      </c>
      <c r="M40" s="152" t="s">
        <v>184</v>
      </c>
      <c r="N40" s="153">
        <f>-0.0075*L$36+18.5</f>
        <v>13.295</v>
      </c>
      <c r="R40" s="152" t="s">
        <v>184</v>
      </c>
      <c r="S40" s="153">
        <f>-0.0075*Q$36+19.1</f>
        <v>14.832500000000001</v>
      </c>
      <c r="W40" s="152" t="s">
        <v>184</v>
      </c>
      <c r="X40" s="153">
        <f>-0.0075*V$36+18.5</f>
        <v>12.65</v>
      </c>
    </row>
    <row r="41" spans="1:24">
      <c r="C41" s="152" t="s">
        <v>185</v>
      </c>
      <c r="D41" s="153">
        <f>-0.0075*B$36+21.4</f>
        <v>20.4025</v>
      </c>
      <c r="H41" s="152" t="s">
        <v>185</v>
      </c>
      <c r="I41" s="153">
        <f>-0.0075*G$36+20.7</f>
        <v>18.974999999999998</v>
      </c>
      <c r="M41" s="152" t="s">
        <v>185</v>
      </c>
      <c r="N41" s="153">
        <f>-0.0075*L$36+20</f>
        <v>14.795</v>
      </c>
      <c r="R41" s="152" t="s">
        <v>185</v>
      </c>
      <c r="S41" s="153">
        <f>-0.0075*Q$36+20.7</f>
        <v>16.432499999999997</v>
      </c>
      <c r="W41" s="152" t="s">
        <v>185</v>
      </c>
      <c r="X41" s="153">
        <f>-0.0075*V$36+20</f>
        <v>14.15</v>
      </c>
    </row>
    <row r="42" spans="1:24">
      <c r="C42" s="152" t="s">
        <v>186</v>
      </c>
      <c r="D42" s="153">
        <f>-0.0075*B$36+20.8</f>
        <v>19.802500000000002</v>
      </c>
      <c r="H42" s="152" t="s">
        <v>186</v>
      </c>
      <c r="I42" s="153">
        <f>-0.0075*G$36+20.1</f>
        <v>18.375</v>
      </c>
      <c r="M42" s="152" t="s">
        <v>186</v>
      </c>
      <c r="N42" s="153">
        <f>-0.0075*L$36+19.4</f>
        <v>14.194999999999999</v>
      </c>
      <c r="R42" s="152" t="s">
        <v>186</v>
      </c>
      <c r="S42" s="153">
        <f>-0.0075*Q$36+20.1</f>
        <v>15.832500000000001</v>
      </c>
      <c r="W42" s="152" t="s">
        <v>186</v>
      </c>
      <c r="X42" s="153">
        <f>-0.0075*V$36+19.4</f>
        <v>13.549999999999999</v>
      </c>
    </row>
    <row r="43" spans="1:24">
      <c r="C43" s="152" t="s">
        <v>187</v>
      </c>
      <c r="D43" s="153">
        <f>-0.0065*B$36+16.3</f>
        <v>15.435500000000001</v>
      </c>
      <c r="H43" s="152" t="s">
        <v>187</v>
      </c>
      <c r="I43" s="153">
        <f>-0.0065*G$36+15.7</f>
        <v>14.205</v>
      </c>
      <c r="M43" s="152" t="s">
        <v>187</v>
      </c>
      <c r="N43" s="153">
        <f>-0.0065*L$36+16</f>
        <v>11.489000000000001</v>
      </c>
      <c r="R43" s="152" t="s">
        <v>187</v>
      </c>
      <c r="S43" s="153">
        <f>-0.0065*Q$36+15.7</f>
        <v>12.0015</v>
      </c>
      <c r="W43" s="152" t="s">
        <v>187</v>
      </c>
      <c r="X43" s="153">
        <f>-0.0065*V$36+16</f>
        <v>10.93</v>
      </c>
    </row>
    <row r="44" spans="1:24">
      <c r="C44" s="152" t="s">
        <v>59</v>
      </c>
      <c r="D44" s="153">
        <f>-0.005*B$36+10.7</f>
        <v>10.035</v>
      </c>
      <c r="H44" s="152" t="s">
        <v>59</v>
      </c>
      <c r="I44" s="153">
        <f>-0.005*G$36+10.2</f>
        <v>9.0499999999999989</v>
      </c>
      <c r="M44" s="152" t="s">
        <v>59</v>
      </c>
      <c r="N44" s="153">
        <f>-0.005*L$36+9.6</f>
        <v>6.129999999999999</v>
      </c>
      <c r="R44" s="152" t="s">
        <v>59</v>
      </c>
      <c r="S44" s="153">
        <f>-0.005*Q$36+10.2</f>
        <v>7.3549999999999986</v>
      </c>
      <c r="W44" s="152" t="s">
        <v>59</v>
      </c>
      <c r="X44" s="153">
        <f>-0.005*V$36+9.6</f>
        <v>5.6999999999999993</v>
      </c>
    </row>
    <row r="45" spans="1:24">
      <c r="C45" s="152" t="s">
        <v>60</v>
      </c>
      <c r="D45" s="153">
        <f>-0.0045*B$36+5.1</f>
        <v>4.5015000000000001</v>
      </c>
      <c r="H45" s="152" t="s">
        <v>60</v>
      </c>
      <c r="I45" s="153">
        <f>-0.0045*G$36+4.7</f>
        <v>3.665</v>
      </c>
      <c r="M45" s="152" t="s">
        <v>60</v>
      </c>
      <c r="N45" s="153">
        <f>-0.0045*L$36+4.2</f>
        <v>1.0770000000000004</v>
      </c>
      <c r="R45" s="152" t="s">
        <v>60</v>
      </c>
      <c r="S45" s="153">
        <f>-0.0045*Q$36+4.7</f>
        <v>2.1395000000000004</v>
      </c>
      <c r="W45" s="152" t="s">
        <v>60</v>
      </c>
      <c r="X45" s="153">
        <f>-0.0045*V$36+4.2</f>
        <v>0.69000000000000039</v>
      </c>
    </row>
    <row r="46" spans="1:24">
      <c r="C46" s="152" t="s">
        <v>61</v>
      </c>
      <c r="D46" s="153">
        <f>-0.0045*B$36+0.5</f>
        <v>-9.8499999999999921E-2</v>
      </c>
      <c r="H46" s="152" t="s">
        <v>61</v>
      </c>
      <c r="I46" s="153">
        <f>-0.0045*G$36+0.1</f>
        <v>-0.93499999999999994</v>
      </c>
      <c r="M46" s="152" t="s">
        <v>61</v>
      </c>
      <c r="N46" s="153">
        <f>-0.0045*L$36-0.5</f>
        <v>-3.6229999999999998</v>
      </c>
      <c r="R46" s="152" t="s">
        <v>61</v>
      </c>
      <c r="S46" s="153">
        <f>-0.0045*Q$36+0.1</f>
        <v>-2.4604999999999997</v>
      </c>
      <c r="W46" s="152" t="s">
        <v>61</v>
      </c>
      <c r="X46" s="153">
        <f>-0.0045*V$36-0.5</f>
        <v>-4.01</v>
      </c>
    </row>
    <row r="47" spans="1:24">
      <c r="F47" s="117"/>
    </row>
    <row r="48" spans="1:24">
      <c r="A48" t="s">
        <v>222</v>
      </c>
      <c r="B48" s="120" t="s">
        <v>198</v>
      </c>
      <c r="C48" s="151" t="s">
        <v>54</v>
      </c>
      <c r="D48" s="151" t="s">
        <v>228</v>
      </c>
      <c r="F48" t="s">
        <v>222</v>
      </c>
      <c r="G48" s="120" t="s">
        <v>231</v>
      </c>
      <c r="H48" s="151" t="s">
        <v>54</v>
      </c>
      <c r="I48" s="151" t="s">
        <v>228</v>
      </c>
    </row>
    <row r="49" spans="1:9">
      <c r="A49" t="s">
        <v>223</v>
      </c>
      <c r="B49" s="120">
        <v>2</v>
      </c>
      <c r="C49" s="152" t="s">
        <v>55</v>
      </c>
      <c r="D49" s="153">
        <f>-0.004*B$50-1.8</f>
        <v>-2.66</v>
      </c>
      <c r="F49" t="s">
        <v>223</v>
      </c>
      <c r="G49" s="120">
        <v>2</v>
      </c>
      <c r="H49" s="152" t="s">
        <v>55</v>
      </c>
      <c r="I49" s="153">
        <f>-0.004*G$50-1.8</f>
        <v>-2.6040000000000001</v>
      </c>
    </row>
    <row r="50" spans="1:9">
      <c r="A50" t="s">
        <v>230</v>
      </c>
      <c r="B50" s="154">
        <v>215</v>
      </c>
      <c r="C50" s="152" t="s">
        <v>56</v>
      </c>
      <c r="D50" s="153">
        <f>-0.005*B$50+0.6</f>
        <v>-0.47499999999999998</v>
      </c>
      <c r="F50" t="s">
        <v>230</v>
      </c>
      <c r="G50" s="154">
        <v>201</v>
      </c>
      <c r="H50" s="152" t="s">
        <v>56</v>
      </c>
      <c r="I50" s="153">
        <f>-0.005*G$50+0.6</f>
        <v>-0.40500000000000014</v>
      </c>
    </row>
    <row r="51" spans="1:9">
      <c r="C51" s="152" t="s">
        <v>57</v>
      </c>
      <c r="D51" s="153">
        <f>-0.006*B$50+5.3</f>
        <v>4.01</v>
      </c>
      <c r="H51" s="152" t="s">
        <v>57</v>
      </c>
      <c r="I51" s="153">
        <f>-0.006*G$50+5.3</f>
        <v>4.0939999999999994</v>
      </c>
    </row>
    <row r="52" spans="1:9">
      <c r="C52" s="152" t="s">
        <v>58</v>
      </c>
      <c r="D52" s="153">
        <f>-0.007*B$50+11.1</f>
        <v>9.5949999999999989</v>
      </c>
      <c r="H52" s="152" t="s">
        <v>58</v>
      </c>
      <c r="I52" s="153">
        <f>-0.007*G$50+11.1</f>
        <v>9.6929999999999996</v>
      </c>
    </row>
    <row r="53" spans="1:9">
      <c r="C53" s="152" t="s">
        <v>183</v>
      </c>
      <c r="D53" s="153">
        <f>-0.007*B$50+16</f>
        <v>14.494999999999999</v>
      </c>
      <c r="H53" s="152" t="s">
        <v>183</v>
      </c>
      <c r="I53" s="153">
        <f>-0.007*G$50+16</f>
        <v>14.593</v>
      </c>
    </row>
    <row r="54" spans="1:9">
      <c r="C54" s="152" t="s">
        <v>184</v>
      </c>
      <c r="D54" s="153">
        <f>-0.0075*B$50+19.1</f>
        <v>17.487500000000001</v>
      </c>
      <c r="H54" s="152" t="s">
        <v>184</v>
      </c>
      <c r="I54" s="153">
        <f>-0.0075*G$50+19.1</f>
        <v>17.592500000000001</v>
      </c>
    </row>
    <row r="55" spans="1:9">
      <c r="C55" s="152" t="s">
        <v>185</v>
      </c>
      <c r="D55" s="153">
        <f>-0.0075*B$50+20.7</f>
        <v>19.087499999999999</v>
      </c>
      <c r="H55" s="152" t="s">
        <v>185</v>
      </c>
      <c r="I55" s="153">
        <f>-0.0075*G$50+20.7</f>
        <v>19.192499999999999</v>
      </c>
    </row>
    <row r="56" spans="1:9">
      <c r="C56" s="152" t="s">
        <v>186</v>
      </c>
      <c r="D56" s="153">
        <f>-0.0075*B$50+20.1</f>
        <v>18.487500000000001</v>
      </c>
      <c r="H56" s="152" t="s">
        <v>186</v>
      </c>
      <c r="I56" s="153">
        <f>-0.0075*G$50+20.1</f>
        <v>18.592500000000001</v>
      </c>
    </row>
    <row r="57" spans="1:9">
      <c r="C57" s="152" t="s">
        <v>187</v>
      </c>
      <c r="D57" s="153">
        <f>-0.0065*B$50+15.7</f>
        <v>14.302499999999998</v>
      </c>
      <c r="H57" s="152" t="s">
        <v>187</v>
      </c>
      <c r="I57" s="153">
        <f>-0.0065*G$50+15.7</f>
        <v>14.3935</v>
      </c>
    </row>
    <row r="58" spans="1:9">
      <c r="C58" s="152" t="s">
        <v>59</v>
      </c>
      <c r="D58" s="153">
        <f>-0.005*B$50+10.2</f>
        <v>9.125</v>
      </c>
      <c r="H58" s="152" t="s">
        <v>59</v>
      </c>
      <c r="I58" s="153">
        <f>-0.005*G$50+10.2</f>
        <v>9.1949999999999985</v>
      </c>
    </row>
    <row r="59" spans="1:9">
      <c r="C59" s="152" t="s">
        <v>60</v>
      </c>
      <c r="D59" s="153">
        <f>-0.0045*B$50+4.7</f>
        <v>3.7325000000000004</v>
      </c>
      <c r="H59" s="152" t="s">
        <v>60</v>
      </c>
      <c r="I59" s="153">
        <f>-0.0045*G$50+4.7</f>
        <v>3.7955000000000001</v>
      </c>
    </row>
    <row r="60" spans="1:9">
      <c r="C60" s="152" t="s">
        <v>61</v>
      </c>
      <c r="D60" s="153">
        <f>-0.0045*B$50+0.1</f>
        <v>-0.86749999999999994</v>
      </c>
      <c r="H60" s="152" t="s">
        <v>61</v>
      </c>
      <c r="I60" s="153">
        <f>-0.0045*G$50+0.1</f>
        <v>-0.80449999999999999</v>
      </c>
    </row>
  </sheetData>
  <pageMargins left="0.7" right="0.7" top="0.75" bottom="0.75" header="0.3" footer="0.3"/>
  <pageSetup scale="98" orientation="portrait" r:id="rId1"/>
  <rowBreaks count="1" manualBreakCount="1">
    <brk id="4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árok16"/>
  <dimension ref="A1:BK267"/>
  <sheetViews>
    <sheetView tabSelected="1" topLeftCell="AR4" zoomScale="94" zoomScaleNormal="70" workbookViewId="0">
      <selection activeCell="BN7" sqref="BN7"/>
    </sheetView>
  </sheetViews>
  <sheetFormatPr defaultColWidth="9.109375" defaultRowHeight="13.2"/>
  <cols>
    <col min="1" max="1" width="9" style="117" customWidth="1"/>
    <col min="2" max="2" width="7.5546875" style="117" bestFit="1" customWidth="1"/>
    <col min="3" max="3" width="5.6640625" style="117" customWidth="1"/>
    <col min="4" max="4" width="7.88671875" style="118" customWidth="1"/>
    <col min="5" max="5" width="10.109375" style="118" bestFit="1" customWidth="1"/>
    <col min="6" max="7" width="9.109375" style="118" hidden="1" customWidth="1"/>
    <col min="8" max="8" width="1.88671875" style="117" bestFit="1" customWidth="1"/>
    <col min="9" max="9" width="19.6640625" style="117" customWidth="1"/>
    <col min="10" max="10" width="5" style="117" bestFit="1" customWidth="1"/>
    <col min="11" max="11" width="6" style="117" bestFit="1" customWidth="1"/>
    <col min="12" max="12" width="8.33203125" style="117" bestFit="1" customWidth="1"/>
    <col min="13" max="13" width="5.5546875" style="117" bestFit="1" customWidth="1"/>
    <col min="14" max="14" width="6" style="117" bestFit="1" customWidth="1"/>
    <col min="15" max="15" width="8.33203125" style="117" bestFit="1" customWidth="1"/>
    <col min="16" max="16" width="5.5546875" style="117" bestFit="1" customWidth="1"/>
    <col min="17" max="17" width="6" style="117" bestFit="1" customWidth="1"/>
    <col min="18" max="18" width="8.33203125" style="117" bestFit="1" customWidth="1"/>
    <col min="19" max="19" width="5.5546875" style="117" bestFit="1" customWidth="1"/>
    <col min="20" max="20" width="6" style="117" bestFit="1" customWidth="1"/>
    <col min="21" max="21" width="8.33203125" style="117" bestFit="1" customWidth="1"/>
    <col min="22" max="22" width="2" style="117" customWidth="1"/>
    <col min="23" max="23" width="20" style="117" customWidth="1"/>
    <col min="24" max="25" width="9.109375" style="117" hidden="1" customWidth="1"/>
    <col min="26" max="26" width="5.5546875" style="117" bestFit="1" customWidth="1"/>
    <col min="27" max="27" width="6" style="117" bestFit="1" customWidth="1"/>
    <col min="28" max="28" width="8.33203125" style="117" bestFit="1" customWidth="1"/>
    <col min="29" max="29" width="5.5546875" style="117" bestFit="1" customWidth="1"/>
    <col min="30" max="30" width="7" style="117" customWidth="1"/>
    <col min="31" max="31" width="8.33203125" style="117" bestFit="1" customWidth="1"/>
    <col min="32" max="32" width="5.5546875" style="117" bestFit="1" customWidth="1"/>
    <col min="33" max="33" width="6" style="117" bestFit="1" customWidth="1"/>
    <col min="34" max="34" width="8.33203125" style="117" bestFit="1" customWidth="1"/>
    <col min="35" max="35" width="5.5546875" style="117" bestFit="1" customWidth="1"/>
    <col min="36" max="36" width="6" style="117" bestFit="1" customWidth="1"/>
    <col min="37" max="37" width="8.33203125" style="117" bestFit="1" customWidth="1"/>
    <col min="38" max="38" width="8.33203125" style="117" customWidth="1"/>
    <col min="39" max="39" width="17.5546875" style="117" bestFit="1" customWidth="1"/>
    <col min="40" max="41" width="9.109375" style="117" hidden="1" customWidth="1"/>
    <col min="42" max="42" width="5.5546875" style="117" bestFit="1" customWidth="1"/>
    <col min="43" max="43" width="6" style="117" bestFit="1" customWidth="1"/>
    <col min="44" max="44" width="8.33203125" style="117" bestFit="1" customWidth="1"/>
    <col min="45" max="45" width="5.5546875" style="117" bestFit="1" customWidth="1"/>
    <col min="46" max="46" width="7" style="117" customWidth="1"/>
    <col min="47" max="47" width="8.33203125" style="117" bestFit="1" customWidth="1"/>
    <col min="48" max="48" width="5.5546875" style="117" bestFit="1" customWidth="1"/>
    <col min="49" max="49" width="6" style="117" bestFit="1" customWidth="1"/>
    <col min="50" max="50" width="8.33203125" style="117" bestFit="1" customWidth="1"/>
    <col min="51" max="51" width="5.5546875" style="117" bestFit="1" customWidth="1"/>
    <col min="52" max="52" width="6" style="117" bestFit="1" customWidth="1"/>
    <col min="53" max="53" width="8.33203125" style="117" bestFit="1" customWidth="1"/>
    <col min="54" max="54" width="2.44140625" style="117" customWidth="1"/>
    <col min="55" max="55" width="19.33203125" style="117" customWidth="1"/>
    <col min="56" max="56" width="6.109375" style="117" bestFit="1" customWidth="1"/>
    <col min="57" max="57" width="8.33203125" style="117" bestFit="1" customWidth="1"/>
    <col min="58" max="58" width="6.109375" style="117" bestFit="1" customWidth="1"/>
    <col min="59" max="59" width="8.33203125" style="117" bestFit="1" customWidth="1"/>
    <col min="60" max="60" width="6.109375" style="117" bestFit="1" customWidth="1"/>
    <col min="61" max="61" width="8.33203125" style="117" bestFit="1" customWidth="1"/>
    <col min="62" max="62" width="6.109375" style="117" bestFit="1" customWidth="1"/>
    <col min="63" max="63" width="8.33203125" style="117" bestFit="1" customWidth="1"/>
    <col min="64" max="16384" width="9.109375" style="117"/>
  </cols>
  <sheetData>
    <row r="1" spans="1:63" ht="22.8">
      <c r="A1" s="132" t="s">
        <v>202</v>
      </c>
      <c r="B1" s="133"/>
      <c r="C1" s="133"/>
      <c r="D1" s="134"/>
      <c r="E1" s="134"/>
      <c r="F1" s="134"/>
      <c r="G1" s="134"/>
      <c r="H1" s="135"/>
      <c r="I1" s="136"/>
      <c r="W1" s="116"/>
      <c r="AM1" s="116"/>
      <c r="BC1" s="116"/>
    </row>
    <row r="2" spans="1:63" ht="17.399999999999999">
      <c r="A2" s="129" t="s">
        <v>204</v>
      </c>
      <c r="B2" s="130"/>
      <c r="C2" s="130"/>
      <c r="D2" s="131"/>
      <c r="E2" s="131"/>
      <c r="F2" s="131"/>
      <c r="G2" s="131"/>
      <c r="H2" s="130"/>
      <c r="I2" s="129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29"/>
      <c r="AM2" s="129"/>
      <c r="BC2" s="116"/>
    </row>
    <row r="3" spans="1:63" ht="17.399999999999999">
      <c r="A3" s="129" t="s">
        <v>203</v>
      </c>
      <c r="B3" s="130"/>
      <c r="C3" s="130"/>
      <c r="D3" s="131"/>
      <c r="E3" s="131"/>
      <c r="F3" s="131"/>
      <c r="G3" s="131"/>
      <c r="H3" s="130"/>
      <c r="I3" s="129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29"/>
      <c r="AM3" s="129"/>
      <c r="BC3" s="116"/>
    </row>
    <row r="4" spans="1:63" ht="8.25" customHeight="1">
      <c r="A4" s="129"/>
      <c r="B4" s="130"/>
      <c r="C4" s="130"/>
      <c r="D4" s="131"/>
      <c r="E4" s="131"/>
      <c r="F4" s="131"/>
      <c r="G4" s="131"/>
      <c r="H4" s="130"/>
      <c r="I4" s="129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29"/>
      <c r="AM4" s="129"/>
      <c r="BC4" s="116"/>
    </row>
    <row r="5" spans="1:63" ht="31.5" customHeight="1">
      <c r="A5" s="312" t="s">
        <v>206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138"/>
      <c r="T5" s="138"/>
      <c r="U5" s="130"/>
      <c r="V5" s="130"/>
      <c r="W5" s="129"/>
      <c r="AM5" s="163" t="s">
        <v>255</v>
      </c>
      <c r="BC5" s="116"/>
    </row>
    <row r="6" spans="1:63" ht="9.75" customHeight="1">
      <c r="A6" s="119"/>
      <c r="B6" s="130"/>
      <c r="C6" s="130"/>
      <c r="D6" s="131"/>
      <c r="E6" s="131"/>
      <c r="F6" s="131"/>
      <c r="G6" s="131"/>
      <c r="H6" s="130"/>
      <c r="I6" s="129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29"/>
      <c r="AM6" s="129"/>
      <c r="BC6" s="116"/>
    </row>
    <row r="7" spans="1:63">
      <c r="A7" s="119" t="s">
        <v>200</v>
      </c>
      <c r="I7" s="119" t="s">
        <v>170</v>
      </c>
      <c r="W7" s="119" t="s">
        <v>171</v>
      </c>
      <c r="AM7" s="119" t="s">
        <v>254</v>
      </c>
      <c r="BC7" s="119" t="s">
        <v>207</v>
      </c>
    </row>
    <row r="8" spans="1:63" ht="21.75" customHeight="1"/>
    <row r="9" spans="1:63" ht="15" customHeight="1">
      <c r="A9" s="128" t="s">
        <v>201</v>
      </c>
      <c r="B9" s="120" t="s">
        <v>172</v>
      </c>
      <c r="C9" s="120" t="s">
        <v>173</v>
      </c>
      <c r="D9" s="309" t="s">
        <v>174</v>
      </c>
      <c r="E9" s="309"/>
      <c r="F9" s="120"/>
      <c r="G9" s="120"/>
      <c r="J9" s="305" t="s">
        <v>177</v>
      </c>
      <c r="K9" s="306"/>
      <c r="L9" s="307"/>
      <c r="M9" s="305" t="s">
        <v>178</v>
      </c>
      <c r="N9" s="306"/>
      <c r="O9" s="307"/>
      <c r="P9" s="305" t="s">
        <v>179</v>
      </c>
      <c r="Q9" s="306"/>
      <c r="R9" s="306"/>
      <c r="S9" s="308" t="s">
        <v>180</v>
      </c>
      <c r="T9" s="308"/>
      <c r="U9" s="308"/>
      <c r="Z9" s="308" t="s">
        <v>177</v>
      </c>
      <c r="AA9" s="308"/>
      <c r="AB9" s="308"/>
      <c r="AC9" s="308" t="s">
        <v>178</v>
      </c>
      <c r="AD9" s="308"/>
      <c r="AE9" s="308"/>
      <c r="AF9" s="308" t="s">
        <v>179</v>
      </c>
      <c r="AG9" s="308"/>
      <c r="AH9" s="308"/>
      <c r="AI9" s="308" t="s">
        <v>180</v>
      </c>
      <c r="AJ9" s="308"/>
      <c r="AK9" s="308"/>
      <c r="AL9" s="128"/>
      <c r="AP9" s="308" t="s">
        <v>177</v>
      </c>
      <c r="AQ9" s="308"/>
      <c r="AR9" s="308"/>
      <c r="AS9" s="308" t="s">
        <v>178</v>
      </c>
      <c r="AT9" s="308"/>
      <c r="AU9" s="308"/>
      <c r="AV9" s="308" t="s">
        <v>179</v>
      </c>
      <c r="AW9" s="308"/>
      <c r="AX9" s="308"/>
      <c r="AY9" s="308" t="s">
        <v>180</v>
      </c>
      <c r="AZ9" s="308"/>
      <c r="BA9" s="308"/>
      <c r="BD9" s="310" t="s">
        <v>177</v>
      </c>
      <c r="BE9" s="311"/>
      <c r="BF9" s="310" t="s">
        <v>178</v>
      </c>
      <c r="BG9" s="311"/>
      <c r="BH9" s="310" t="s">
        <v>181</v>
      </c>
      <c r="BI9" s="311"/>
      <c r="BJ9" s="308" t="s">
        <v>180</v>
      </c>
      <c r="BK9" s="308"/>
    </row>
    <row r="10" spans="1:63" ht="13.8" thickBot="1">
      <c r="D10" s="118" t="s">
        <v>176</v>
      </c>
      <c r="E10" s="118" t="s">
        <v>175</v>
      </c>
      <c r="J10" s="137" t="s">
        <v>205</v>
      </c>
      <c r="K10" s="137" t="s">
        <v>176</v>
      </c>
      <c r="L10" s="137" t="s">
        <v>175</v>
      </c>
      <c r="M10" s="137" t="s">
        <v>205</v>
      </c>
      <c r="N10" s="137" t="s">
        <v>176</v>
      </c>
      <c r="O10" s="137" t="s">
        <v>175</v>
      </c>
      <c r="P10" s="137" t="s">
        <v>205</v>
      </c>
      <c r="Q10" s="137" t="s">
        <v>176</v>
      </c>
      <c r="R10" s="137" t="s">
        <v>175</v>
      </c>
      <c r="S10" s="137" t="s">
        <v>205</v>
      </c>
      <c r="T10" s="137" t="s">
        <v>176</v>
      </c>
      <c r="U10" s="137" t="s">
        <v>175</v>
      </c>
      <c r="Z10" s="137" t="s">
        <v>205</v>
      </c>
      <c r="AA10" s="137" t="s">
        <v>176</v>
      </c>
      <c r="AB10" s="137" t="s">
        <v>175</v>
      </c>
      <c r="AC10" s="137" t="s">
        <v>205</v>
      </c>
      <c r="AD10" s="137" t="s">
        <v>176</v>
      </c>
      <c r="AE10" s="137" t="s">
        <v>175</v>
      </c>
      <c r="AF10" s="137" t="s">
        <v>205</v>
      </c>
      <c r="AG10" s="137" t="s">
        <v>176</v>
      </c>
      <c r="AH10" s="137" t="s">
        <v>175</v>
      </c>
      <c r="AI10" s="137" t="s">
        <v>205</v>
      </c>
      <c r="AJ10" s="137" t="s">
        <v>176</v>
      </c>
      <c r="AK10" s="137" t="s">
        <v>175</v>
      </c>
      <c r="AP10" s="137" t="s">
        <v>205</v>
      </c>
      <c r="AQ10" s="137" t="s">
        <v>176</v>
      </c>
      <c r="AR10" s="137" t="s">
        <v>175</v>
      </c>
      <c r="AS10" s="137" t="s">
        <v>205</v>
      </c>
      <c r="AT10" s="137" t="s">
        <v>176</v>
      </c>
      <c r="AU10" s="137" t="s">
        <v>175</v>
      </c>
      <c r="AV10" s="137" t="s">
        <v>205</v>
      </c>
      <c r="AW10" s="137" t="s">
        <v>176</v>
      </c>
      <c r="AX10" s="137" t="s">
        <v>175</v>
      </c>
      <c r="AY10" s="137" t="s">
        <v>205</v>
      </c>
      <c r="AZ10" s="137" t="s">
        <v>176</v>
      </c>
      <c r="BA10" s="137" t="s">
        <v>175</v>
      </c>
      <c r="BD10" s="137" t="s">
        <v>176</v>
      </c>
      <c r="BE10" s="137" t="s">
        <v>175</v>
      </c>
      <c r="BF10" s="137" t="s">
        <v>176</v>
      </c>
      <c r="BG10" s="137" t="s">
        <v>175</v>
      </c>
      <c r="BH10" s="137" t="s">
        <v>176</v>
      </c>
      <c r="BI10" s="137" t="s">
        <v>175</v>
      </c>
      <c r="BJ10" s="137" t="s">
        <v>176</v>
      </c>
      <c r="BK10" s="137" t="s">
        <v>175</v>
      </c>
    </row>
    <row r="11" spans="1:63" ht="14.4">
      <c r="A11" s="121" t="s">
        <v>55</v>
      </c>
      <c r="B11" s="118">
        <v>31</v>
      </c>
      <c r="C11" s="118">
        <f>B11*24</f>
        <v>744</v>
      </c>
      <c r="D11" s="122">
        <f t="shared" ref="D11:D22" si="0">E11*1000/C11</f>
        <v>34.946236559139784</v>
      </c>
      <c r="E11" s="118">
        <v>26</v>
      </c>
      <c r="H11" s="123"/>
      <c r="J11" s="124">
        <v>1.62</v>
      </c>
      <c r="K11" s="125">
        <f t="shared" ref="K11:K22" si="1">J11*$D11</f>
        <v>56.612903225806456</v>
      </c>
      <c r="L11" s="125">
        <f>$E11*J11</f>
        <v>42.120000000000005</v>
      </c>
      <c r="M11" s="124">
        <v>0.5</v>
      </c>
      <c r="N11" s="125">
        <f t="shared" ref="N11:N22" si="2">M11*$D11</f>
        <v>17.473118279569892</v>
      </c>
      <c r="O11" s="125">
        <f>$E11*M11</f>
        <v>13</v>
      </c>
      <c r="P11" s="124">
        <v>1</v>
      </c>
      <c r="Q11" s="125">
        <f t="shared" ref="Q11:Q22" si="3">P11*$D11</f>
        <v>34.946236559139784</v>
      </c>
      <c r="R11" s="125">
        <f>$E11*P11</f>
        <v>26</v>
      </c>
      <c r="S11" s="124">
        <v>1</v>
      </c>
      <c r="T11" s="125">
        <f t="shared" ref="T11:T22" si="4">S11*$D11</f>
        <v>34.946236559139784</v>
      </c>
      <c r="U11" s="125">
        <f>$E11*S11</f>
        <v>26</v>
      </c>
      <c r="X11" s="123"/>
      <c r="Y11" s="123"/>
      <c r="Z11" s="124">
        <v>1.96</v>
      </c>
      <c r="AA11" s="125">
        <f>Z11*$D11</f>
        <v>68.494623655913969</v>
      </c>
      <c r="AB11" s="125">
        <f t="shared" ref="AB11:AB22" si="5">$E11*Z11</f>
        <v>50.96</v>
      </c>
      <c r="AC11" s="124">
        <v>0.49</v>
      </c>
      <c r="AD11" s="125">
        <f>AC11*$D11</f>
        <v>17.123655913978492</v>
      </c>
      <c r="AE11" s="125">
        <f t="shared" ref="AE11:AE22" si="6">$E11*AC11</f>
        <v>12.74</v>
      </c>
      <c r="AF11" s="124">
        <v>0.95</v>
      </c>
      <c r="AG11" s="125">
        <f>AF11*$D11</f>
        <v>33.198924731182792</v>
      </c>
      <c r="AH11" s="125">
        <f t="shared" ref="AH11:AH22" si="7">$E11*AF11</f>
        <v>24.7</v>
      </c>
      <c r="AI11" s="124">
        <v>0.95</v>
      </c>
      <c r="AJ11" s="125">
        <f>AI11*$D11</f>
        <v>33.198924731182792</v>
      </c>
      <c r="AK11" s="125">
        <f t="shared" ref="AK11:AK22" si="8">$E11*AI11</f>
        <v>24.7</v>
      </c>
      <c r="AL11" s="162"/>
      <c r="AN11" s="123"/>
      <c r="AO11" s="123"/>
      <c r="AP11" s="124">
        <v>1.94</v>
      </c>
      <c r="AQ11" s="125">
        <f>AP11*$D11</f>
        <v>67.795698924731184</v>
      </c>
      <c r="AR11" s="125">
        <f t="shared" ref="AR11:AR22" si="9">$E11*AP11</f>
        <v>50.44</v>
      </c>
      <c r="AS11" s="124">
        <v>0.53</v>
      </c>
      <c r="AT11" s="125">
        <f>AS11*$D11</f>
        <v>18.521505376344088</v>
      </c>
      <c r="AU11" s="125">
        <f t="shared" ref="AU11:AU22" si="10">$E11*AS11</f>
        <v>13.780000000000001</v>
      </c>
      <c r="AV11" s="124">
        <v>0.85</v>
      </c>
      <c r="AW11" s="125">
        <f>AV11*$D11</f>
        <v>29.704301075268816</v>
      </c>
      <c r="AX11" s="125">
        <f t="shared" ref="AX11:AX22" si="11">$E11*AV11</f>
        <v>22.099999999999998</v>
      </c>
      <c r="AY11" s="124">
        <v>0.85</v>
      </c>
      <c r="AZ11" s="125">
        <f>AY11*$D11</f>
        <v>29.704301075268816</v>
      </c>
      <c r="BA11" s="125">
        <f t="shared" ref="BA11:BA22" si="12">$E11*AY11</f>
        <v>22.099999999999998</v>
      </c>
      <c r="BD11" s="139">
        <f>(K11+AQ11)/2</f>
        <v>62.204301075268816</v>
      </c>
      <c r="BE11" s="139">
        <f>(L11+AR11)/2</f>
        <v>46.28</v>
      </c>
      <c r="BF11" s="139">
        <f>(N11+AT11)/2</f>
        <v>17.997311827956992</v>
      </c>
      <c r="BG11" s="139">
        <f>(O11+AU11)/2</f>
        <v>13.39</v>
      </c>
      <c r="BH11" s="139">
        <f>(Q11+AW11)/2</f>
        <v>32.325268817204304</v>
      </c>
      <c r="BI11" s="139">
        <f>(R11+AX11)/2</f>
        <v>24.049999999999997</v>
      </c>
      <c r="BJ11" s="139">
        <f>(T11+AZ11)/2</f>
        <v>32.325268817204304</v>
      </c>
      <c r="BK11" s="139">
        <f>(U11+BA11)/2</f>
        <v>24.049999999999997</v>
      </c>
    </row>
    <row r="12" spans="1:63" ht="14.4">
      <c r="A12" s="126" t="s">
        <v>56</v>
      </c>
      <c r="B12" s="118">
        <v>28</v>
      </c>
      <c r="C12" s="118">
        <f t="shared" ref="C12:C22" si="13">B12*24</f>
        <v>672</v>
      </c>
      <c r="D12" s="122">
        <f t="shared" si="0"/>
        <v>72.916666666666671</v>
      </c>
      <c r="E12" s="118">
        <v>49</v>
      </c>
      <c r="H12" s="123"/>
      <c r="J12" s="124">
        <v>1.46</v>
      </c>
      <c r="K12" s="125">
        <f t="shared" si="1"/>
        <v>106.45833333333334</v>
      </c>
      <c r="L12" s="125">
        <f t="shared" ref="L12:L22" si="14">$E12*J12</f>
        <v>71.539999999999992</v>
      </c>
      <c r="M12" s="124">
        <v>0.43</v>
      </c>
      <c r="N12" s="125">
        <f t="shared" si="2"/>
        <v>31.354166666666668</v>
      </c>
      <c r="O12" s="125">
        <f t="shared" ref="O12:O22" si="15">$E12*M12</f>
        <v>21.07</v>
      </c>
      <c r="P12" s="124">
        <v>0.99</v>
      </c>
      <c r="Q12" s="125">
        <f t="shared" si="3"/>
        <v>72.1875</v>
      </c>
      <c r="R12" s="125">
        <f t="shared" ref="R12:R22" si="16">$E12*P12</f>
        <v>48.51</v>
      </c>
      <c r="S12" s="124">
        <v>0.99</v>
      </c>
      <c r="T12" s="125">
        <f t="shared" si="4"/>
        <v>72.1875</v>
      </c>
      <c r="U12" s="125">
        <f t="shared" ref="U12:U22" si="17">$E12*S12</f>
        <v>48.51</v>
      </c>
      <c r="X12" s="123"/>
      <c r="Y12" s="123"/>
      <c r="Z12" s="124">
        <v>1.65</v>
      </c>
      <c r="AA12" s="125">
        <f t="shared" ref="AA12:AA13" si="18">Z12*$D12</f>
        <v>120.3125</v>
      </c>
      <c r="AB12" s="125">
        <f t="shared" si="5"/>
        <v>80.849999999999994</v>
      </c>
      <c r="AC12" s="124">
        <v>0.41</v>
      </c>
      <c r="AD12" s="125">
        <f t="shared" ref="AD12:AD13" si="19">AC12*$D12</f>
        <v>29.895833333333332</v>
      </c>
      <c r="AE12" s="125">
        <f t="shared" si="6"/>
        <v>20.09</v>
      </c>
      <c r="AF12" s="124">
        <v>0.91</v>
      </c>
      <c r="AG12" s="125">
        <f t="shared" ref="AG12:AG13" si="20">AF12*$D12</f>
        <v>66.354166666666671</v>
      </c>
      <c r="AH12" s="125">
        <f t="shared" si="7"/>
        <v>44.59</v>
      </c>
      <c r="AI12" s="124">
        <v>0.91</v>
      </c>
      <c r="AJ12" s="125">
        <f t="shared" ref="AJ12:AJ13" si="21">AI12*$D12</f>
        <v>66.354166666666671</v>
      </c>
      <c r="AK12" s="125">
        <f t="shared" si="8"/>
        <v>44.59</v>
      </c>
      <c r="AL12" s="162"/>
      <c r="AN12" s="123"/>
      <c r="AO12" s="123"/>
      <c r="AP12" s="124">
        <v>1.53</v>
      </c>
      <c r="AQ12" s="125">
        <f t="shared" ref="AQ12:AQ22" si="22">AP12*$D12</f>
        <v>111.56250000000001</v>
      </c>
      <c r="AR12" s="125">
        <f t="shared" si="9"/>
        <v>74.97</v>
      </c>
      <c r="AS12" s="124">
        <v>0.44</v>
      </c>
      <c r="AT12" s="125">
        <f t="shared" ref="AT12:AT22" si="23">AS12*$D12</f>
        <v>32.083333333333336</v>
      </c>
      <c r="AU12" s="125">
        <f t="shared" si="10"/>
        <v>21.56</v>
      </c>
      <c r="AV12" s="124">
        <v>0.78</v>
      </c>
      <c r="AW12" s="125">
        <f t="shared" ref="AW12:AW22" si="24">AV12*$D12</f>
        <v>56.875000000000007</v>
      </c>
      <c r="AX12" s="125">
        <f t="shared" si="11"/>
        <v>38.22</v>
      </c>
      <c r="AY12" s="124">
        <v>0.78</v>
      </c>
      <c r="AZ12" s="125">
        <f t="shared" ref="AZ12:AZ22" si="25">AY12*$D12</f>
        <v>56.875000000000007</v>
      </c>
      <c r="BA12" s="125">
        <f t="shared" si="12"/>
        <v>38.22</v>
      </c>
      <c r="BD12" s="139">
        <f t="shared" ref="BD12:BD22" si="26">(K12+AQ12)/2</f>
        <v>109.01041666666669</v>
      </c>
      <c r="BE12" s="139">
        <f t="shared" ref="BE12:BE22" si="27">(L12+AR12)/2</f>
        <v>73.254999999999995</v>
      </c>
      <c r="BF12" s="139">
        <f t="shared" ref="BF12:BF22" si="28">(N12+AT12)/2</f>
        <v>31.71875</v>
      </c>
      <c r="BG12" s="139">
        <f t="shared" ref="BG12:BG22" si="29">(O12+AU12)/2</f>
        <v>21.314999999999998</v>
      </c>
      <c r="BH12" s="139">
        <f t="shared" ref="BH12:BH22" si="30">(Q12+AW12)/2</f>
        <v>64.53125</v>
      </c>
      <c r="BI12" s="139">
        <f t="shared" ref="BI12:BI22" si="31">(R12+AX12)/2</f>
        <v>43.364999999999995</v>
      </c>
      <c r="BJ12" s="139">
        <f t="shared" ref="BJ12:BJ22" si="32">(T12+AZ12)/2</f>
        <v>64.53125</v>
      </c>
      <c r="BK12" s="139">
        <f t="shared" ref="BK12:BK22" si="33">(U12+BA12)/2</f>
        <v>43.364999999999995</v>
      </c>
    </row>
    <row r="13" spans="1:63" ht="14.4">
      <c r="A13" s="126" t="s">
        <v>57</v>
      </c>
      <c r="B13" s="118">
        <v>31</v>
      </c>
      <c r="C13" s="118">
        <f t="shared" si="13"/>
        <v>744</v>
      </c>
      <c r="D13" s="122">
        <f t="shared" si="0"/>
        <v>118.27956989247312</v>
      </c>
      <c r="E13" s="118">
        <v>88</v>
      </c>
      <c r="H13" s="123"/>
      <c r="J13" s="124">
        <v>1.26</v>
      </c>
      <c r="K13" s="125">
        <f t="shared" si="1"/>
        <v>149.03225806451613</v>
      </c>
      <c r="L13" s="125">
        <f t="shared" si="14"/>
        <v>110.88</v>
      </c>
      <c r="M13" s="124">
        <v>0.51</v>
      </c>
      <c r="N13" s="125">
        <f t="shared" si="2"/>
        <v>60.322580645161295</v>
      </c>
      <c r="O13" s="125">
        <f t="shared" si="15"/>
        <v>44.88</v>
      </c>
      <c r="P13" s="124">
        <v>0.96</v>
      </c>
      <c r="Q13" s="125">
        <f t="shared" si="3"/>
        <v>113.54838709677419</v>
      </c>
      <c r="R13" s="125">
        <f t="shared" si="16"/>
        <v>84.47999999999999</v>
      </c>
      <c r="S13" s="124">
        <v>0.96</v>
      </c>
      <c r="T13" s="125">
        <f t="shared" si="4"/>
        <v>113.54838709677419</v>
      </c>
      <c r="U13" s="125">
        <f t="shared" si="17"/>
        <v>84.47999999999999</v>
      </c>
      <c r="X13" s="123"/>
      <c r="Y13" s="123"/>
      <c r="Z13" s="124">
        <v>1.28</v>
      </c>
      <c r="AA13" s="125">
        <f t="shared" si="18"/>
        <v>151.3978494623656</v>
      </c>
      <c r="AB13" s="125">
        <f t="shared" si="5"/>
        <v>112.64</v>
      </c>
      <c r="AC13" s="124">
        <v>0.33</v>
      </c>
      <c r="AD13" s="125">
        <f t="shared" si="19"/>
        <v>39.032258064516128</v>
      </c>
      <c r="AE13" s="125">
        <f t="shared" si="6"/>
        <v>29.040000000000003</v>
      </c>
      <c r="AF13" s="124">
        <v>0.84</v>
      </c>
      <c r="AG13" s="125">
        <f t="shared" si="20"/>
        <v>99.354838709677423</v>
      </c>
      <c r="AH13" s="125">
        <f t="shared" si="7"/>
        <v>73.92</v>
      </c>
      <c r="AI13" s="124">
        <v>0.84</v>
      </c>
      <c r="AJ13" s="125">
        <f t="shared" si="21"/>
        <v>99.354838709677423</v>
      </c>
      <c r="AK13" s="125">
        <f t="shared" si="8"/>
        <v>73.92</v>
      </c>
      <c r="AL13" s="162"/>
      <c r="AN13" s="123"/>
      <c r="AO13" s="123"/>
      <c r="AP13" s="124">
        <v>1.05</v>
      </c>
      <c r="AQ13" s="125">
        <f t="shared" si="22"/>
        <v>124.19354838709678</v>
      </c>
      <c r="AR13" s="125">
        <f t="shared" si="9"/>
        <v>92.4</v>
      </c>
      <c r="AS13" s="124">
        <v>0.32</v>
      </c>
      <c r="AT13" s="125">
        <f t="shared" si="23"/>
        <v>37.8494623655914</v>
      </c>
      <c r="AU13" s="125">
        <f t="shared" si="10"/>
        <v>28.16</v>
      </c>
      <c r="AV13" s="124">
        <v>0.67</v>
      </c>
      <c r="AW13" s="125">
        <f t="shared" si="24"/>
        <v>79.247311827956992</v>
      </c>
      <c r="AX13" s="125">
        <f t="shared" si="11"/>
        <v>58.96</v>
      </c>
      <c r="AY13" s="124">
        <v>0.67</v>
      </c>
      <c r="AZ13" s="125">
        <f t="shared" si="25"/>
        <v>79.247311827956992</v>
      </c>
      <c r="BA13" s="125">
        <f t="shared" si="12"/>
        <v>58.96</v>
      </c>
      <c r="BD13" s="139">
        <f t="shared" si="26"/>
        <v>136.61290322580646</v>
      </c>
      <c r="BE13" s="139">
        <f t="shared" si="27"/>
        <v>101.64</v>
      </c>
      <c r="BF13" s="139">
        <f t="shared" si="28"/>
        <v>49.086021505376351</v>
      </c>
      <c r="BG13" s="139">
        <f t="shared" si="29"/>
        <v>36.520000000000003</v>
      </c>
      <c r="BH13" s="139">
        <f t="shared" si="30"/>
        <v>96.397849462365599</v>
      </c>
      <c r="BI13" s="139">
        <f t="shared" si="31"/>
        <v>71.72</v>
      </c>
      <c r="BJ13" s="139">
        <f t="shared" si="32"/>
        <v>96.397849462365599</v>
      </c>
      <c r="BK13" s="139">
        <f t="shared" si="33"/>
        <v>71.72</v>
      </c>
    </row>
    <row r="14" spans="1:63" ht="14.4">
      <c r="A14" s="126" t="s">
        <v>58</v>
      </c>
      <c r="B14" s="118">
        <v>30</v>
      </c>
      <c r="C14" s="118">
        <f t="shared" si="13"/>
        <v>720</v>
      </c>
      <c r="D14" s="122">
        <f t="shared" si="0"/>
        <v>186.11111111111111</v>
      </c>
      <c r="E14" s="118">
        <v>134</v>
      </c>
      <c r="H14" s="123"/>
      <c r="I14" s="117" t="s">
        <v>227</v>
      </c>
      <c r="J14" s="124">
        <v>1.1000000000000001</v>
      </c>
      <c r="K14" s="125">
        <f t="shared" si="1"/>
        <v>204.72222222222223</v>
      </c>
      <c r="L14" s="125">
        <f t="shared" si="14"/>
        <v>147.4</v>
      </c>
      <c r="M14" s="124">
        <v>0.68</v>
      </c>
      <c r="N14" s="125">
        <f t="shared" si="2"/>
        <v>126.55555555555557</v>
      </c>
      <c r="O14" s="125">
        <f t="shared" si="15"/>
        <v>91.12</v>
      </c>
      <c r="P14" s="124">
        <v>0.94</v>
      </c>
      <c r="Q14" s="125">
        <f t="shared" si="3"/>
        <v>174.94444444444443</v>
      </c>
      <c r="R14" s="125">
        <f t="shared" si="16"/>
        <v>125.96</v>
      </c>
      <c r="S14" s="124">
        <v>0.94</v>
      </c>
      <c r="T14" s="125">
        <f t="shared" si="4"/>
        <v>174.94444444444443</v>
      </c>
      <c r="U14" s="125">
        <f t="shared" si="17"/>
        <v>125.96</v>
      </c>
      <c r="W14" s="117" t="s">
        <v>227</v>
      </c>
      <c r="X14" s="123"/>
      <c r="Y14" s="123"/>
      <c r="Z14" s="124">
        <v>0.99</v>
      </c>
      <c r="AA14" s="125">
        <f>Z14*$D14</f>
        <v>184.25</v>
      </c>
      <c r="AB14" s="125">
        <f t="shared" si="5"/>
        <v>132.66</v>
      </c>
      <c r="AC14" s="124">
        <v>0.33</v>
      </c>
      <c r="AD14" s="125">
        <f>AC14*$D14</f>
        <v>61.416666666666671</v>
      </c>
      <c r="AE14" s="125">
        <f t="shared" si="6"/>
        <v>44.22</v>
      </c>
      <c r="AF14" s="124">
        <v>0.8</v>
      </c>
      <c r="AG14" s="125">
        <f>AF14*$D14</f>
        <v>148.88888888888889</v>
      </c>
      <c r="AH14" s="125">
        <f t="shared" si="7"/>
        <v>107.2</v>
      </c>
      <c r="AI14" s="124">
        <v>0.8</v>
      </c>
      <c r="AJ14" s="125">
        <f>AI14*$D14</f>
        <v>148.88888888888889</v>
      </c>
      <c r="AK14" s="125">
        <f t="shared" si="8"/>
        <v>107.2</v>
      </c>
      <c r="AL14" s="162"/>
      <c r="AM14" s="117" t="s">
        <v>227</v>
      </c>
      <c r="AN14" s="123"/>
      <c r="AO14" s="123"/>
      <c r="AP14" s="124">
        <v>0.71</v>
      </c>
      <c r="AQ14" s="125">
        <f>AP14*$D14</f>
        <v>132.13888888888889</v>
      </c>
      <c r="AR14" s="125">
        <f t="shared" si="9"/>
        <v>95.14</v>
      </c>
      <c r="AS14" s="124">
        <v>0.28000000000000003</v>
      </c>
      <c r="AT14" s="125">
        <f>AS14*$D14</f>
        <v>52.111111111111114</v>
      </c>
      <c r="AU14" s="125">
        <f t="shared" si="10"/>
        <v>37.520000000000003</v>
      </c>
      <c r="AV14" s="124">
        <v>0.59</v>
      </c>
      <c r="AW14" s="125">
        <f>AV14*$D14</f>
        <v>109.80555555555556</v>
      </c>
      <c r="AX14" s="125">
        <f t="shared" si="11"/>
        <v>79.06</v>
      </c>
      <c r="AY14" s="124">
        <v>0.59</v>
      </c>
      <c r="AZ14" s="125">
        <f>AY14*$D14</f>
        <v>109.80555555555556</v>
      </c>
      <c r="BA14" s="125">
        <f t="shared" si="12"/>
        <v>79.06</v>
      </c>
      <c r="BC14" s="117" t="s">
        <v>227</v>
      </c>
      <c r="BD14" s="139">
        <f t="shared" si="26"/>
        <v>168.43055555555554</v>
      </c>
      <c r="BE14" s="139">
        <f t="shared" si="27"/>
        <v>121.27000000000001</v>
      </c>
      <c r="BF14" s="139">
        <f t="shared" si="28"/>
        <v>89.333333333333343</v>
      </c>
      <c r="BG14" s="139">
        <f t="shared" si="29"/>
        <v>64.320000000000007</v>
      </c>
      <c r="BH14" s="139">
        <f t="shared" si="30"/>
        <v>142.375</v>
      </c>
      <c r="BI14" s="139">
        <f t="shared" si="31"/>
        <v>102.50999999999999</v>
      </c>
      <c r="BJ14" s="139">
        <f t="shared" si="32"/>
        <v>142.375</v>
      </c>
      <c r="BK14" s="139">
        <f t="shared" si="33"/>
        <v>102.50999999999999</v>
      </c>
    </row>
    <row r="15" spans="1:63" ht="14.4">
      <c r="A15" s="126" t="s">
        <v>183</v>
      </c>
      <c r="B15" s="118">
        <v>31</v>
      </c>
      <c r="C15" s="118">
        <f t="shared" si="13"/>
        <v>744</v>
      </c>
      <c r="D15" s="122">
        <f t="shared" si="0"/>
        <v>223.11827956989248</v>
      </c>
      <c r="E15" s="118">
        <v>166</v>
      </c>
      <c r="H15" s="123"/>
      <c r="I15" s="117" t="s">
        <v>182</v>
      </c>
      <c r="J15" s="124">
        <v>1.01</v>
      </c>
      <c r="K15" s="125">
        <f t="shared" si="1"/>
        <v>225.34946236559139</v>
      </c>
      <c r="L15" s="125">
        <f t="shared" si="14"/>
        <v>167.66</v>
      </c>
      <c r="M15" s="124">
        <v>0.79</v>
      </c>
      <c r="N15" s="125">
        <f t="shared" si="2"/>
        <v>176.26344086021507</v>
      </c>
      <c r="O15" s="125">
        <f t="shared" si="15"/>
        <v>131.14000000000001</v>
      </c>
      <c r="P15" s="124">
        <v>0.94</v>
      </c>
      <c r="Q15" s="125">
        <f t="shared" si="3"/>
        <v>209.73118279569891</v>
      </c>
      <c r="R15" s="125">
        <f t="shared" si="16"/>
        <v>156.04</v>
      </c>
      <c r="S15" s="124">
        <v>0.94</v>
      </c>
      <c r="T15" s="125">
        <f t="shared" si="4"/>
        <v>209.73118279569891</v>
      </c>
      <c r="U15" s="125">
        <f t="shared" si="17"/>
        <v>156.04</v>
      </c>
      <c r="W15" s="117" t="s">
        <v>182</v>
      </c>
      <c r="X15" s="123"/>
      <c r="Y15" s="123"/>
      <c r="Z15" s="124">
        <v>0.84</v>
      </c>
      <c r="AA15" s="125">
        <f t="shared" ref="AA15:AA22" si="34">Z15*$D15</f>
        <v>187.41935483870967</v>
      </c>
      <c r="AB15" s="125">
        <f t="shared" si="5"/>
        <v>139.44</v>
      </c>
      <c r="AC15" s="124">
        <v>0.39</v>
      </c>
      <c r="AD15" s="125">
        <f t="shared" ref="AD15:AD22" si="35">AC15*$D15</f>
        <v>87.016129032258064</v>
      </c>
      <c r="AE15" s="125">
        <f t="shared" si="6"/>
        <v>64.740000000000009</v>
      </c>
      <c r="AF15" s="124">
        <v>0.79</v>
      </c>
      <c r="AG15" s="125">
        <f t="shared" ref="AG15:AG22" si="36">AF15*$D15</f>
        <v>176.26344086021507</v>
      </c>
      <c r="AH15" s="125">
        <f t="shared" si="7"/>
        <v>131.14000000000001</v>
      </c>
      <c r="AI15" s="124">
        <v>0.79</v>
      </c>
      <c r="AJ15" s="125">
        <f t="shared" ref="AJ15:AJ22" si="37">AI15*$D15</f>
        <v>176.26344086021507</v>
      </c>
      <c r="AK15" s="125">
        <f t="shared" si="8"/>
        <v>131.14000000000001</v>
      </c>
      <c r="AL15" s="162"/>
      <c r="AM15" s="117" t="s">
        <v>182</v>
      </c>
      <c r="AN15" s="123"/>
      <c r="AO15" s="123"/>
      <c r="AP15" s="124">
        <v>0.55000000000000004</v>
      </c>
      <c r="AQ15" s="125">
        <f t="shared" si="22"/>
        <v>122.71505376344088</v>
      </c>
      <c r="AR15" s="125">
        <f t="shared" si="9"/>
        <v>91.300000000000011</v>
      </c>
      <c r="AS15" s="124">
        <v>0.3</v>
      </c>
      <c r="AT15" s="125">
        <f t="shared" si="23"/>
        <v>66.935483870967744</v>
      </c>
      <c r="AU15" s="125">
        <f t="shared" si="10"/>
        <v>49.8</v>
      </c>
      <c r="AV15" s="124">
        <v>0.56999999999999995</v>
      </c>
      <c r="AW15" s="125">
        <f t="shared" si="24"/>
        <v>127.1774193548387</v>
      </c>
      <c r="AX15" s="125">
        <f t="shared" si="11"/>
        <v>94.61999999999999</v>
      </c>
      <c r="AY15" s="124">
        <v>0.56999999999999995</v>
      </c>
      <c r="AZ15" s="125">
        <f t="shared" si="25"/>
        <v>127.1774193548387</v>
      </c>
      <c r="BA15" s="125">
        <f t="shared" si="12"/>
        <v>94.61999999999999</v>
      </c>
      <c r="BC15" s="117" t="s">
        <v>182</v>
      </c>
      <c r="BD15" s="139">
        <f t="shared" si="26"/>
        <v>174.03225806451613</v>
      </c>
      <c r="BE15" s="139">
        <f t="shared" si="27"/>
        <v>129.48000000000002</v>
      </c>
      <c r="BF15" s="139">
        <f t="shared" si="28"/>
        <v>121.59946236559141</v>
      </c>
      <c r="BG15" s="139">
        <f t="shared" si="29"/>
        <v>90.47</v>
      </c>
      <c r="BH15" s="139">
        <f t="shared" si="30"/>
        <v>168.4543010752688</v>
      </c>
      <c r="BI15" s="139">
        <f t="shared" si="31"/>
        <v>125.32999999999998</v>
      </c>
      <c r="BJ15" s="139">
        <f t="shared" si="32"/>
        <v>168.4543010752688</v>
      </c>
      <c r="BK15" s="139">
        <f t="shared" si="33"/>
        <v>125.32999999999998</v>
      </c>
    </row>
    <row r="16" spans="1:63" ht="14.4">
      <c r="A16" s="126" t="s">
        <v>184</v>
      </c>
      <c r="B16" s="118">
        <v>30</v>
      </c>
      <c r="C16" s="118">
        <f t="shared" si="13"/>
        <v>720</v>
      </c>
      <c r="D16" s="122">
        <f t="shared" si="0"/>
        <v>247.22222222222223</v>
      </c>
      <c r="E16" s="118">
        <v>178</v>
      </c>
      <c r="H16" s="123"/>
      <c r="J16" s="124">
        <v>0.97</v>
      </c>
      <c r="K16" s="125">
        <f t="shared" si="1"/>
        <v>239.80555555555554</v>
      </c>
      <c r="L16" s="125">
        <f t="shared" si="14"/>
        <v>172.66</v>
      </c>
      <c r="M16" s="124">
        <v>0.82</v>
      </c>
      <c r="N16" s="125">
        <f t="shared" si="2"/>
        <v>202.72222222222223</v>
      </c>
      <c r="O16" s="125">
        <f t="shared" si="15"/>
        <v>145.95999999999998</v>
      </c>
      <c r="P16" s="124">
        <v>0.93</v>
      </c>
      <c r="Q16" s="125">
        <f t="shared" si="3"/>
        <v>229.91666666666669</v>
      </c>
      <c r="R16" s="125">
        <f t="shared" si="16"/>
        <v>165.54000000000002</v>
      </c>
      <c r="S16" s="124">
        <v>0.93</v>
      </c>
      <c r="T16" s="125">
        <f t="shared" si="4"/>
        <v>229.91666666666669</v>
      </c>
      <c r="U16" s="125">
        <f t="shared" si="17"/>
        <v>165.54000000000002</v>
      </c>
      <c r="X16" s="123"/>
      <c r="Y16" s="123"/>
      <c r="Z16" s="124">
        <v>0.78</v>
      </c>
      <c r="AA16" s="125">
        <f t="shared" si="34"/>
        <v>192.83333333333334</v>
      </c>
      <c r="AB16" s="125">
        <f t="shared" si="5"/>
        <v>138.84</v>
      </c>
      <c r="AC16" s="124">
        <v>0.45</v>
      </c>
      <c r="AD16" s="125">
        <f t="shared" si="35"/>
        <v>111.25</v>
      </c>
      <c r="AE16" s="125">
        <f t="shared" si="6"/>
        <v>80.100000000000009</v>
      </c>
      <c r="AF16" s="124">
        <v>0.78</v>
      </c>
      <c r="AG16" s="125">
        <f t="shared" si="36"/>
        <v>192.83333333333334</v>
      </c>
      <c r="AH16" s="125">
        <f t="shared" si="7"/>
        <v>138.84</v>
      </c>
      <c r="AI16" s="124">
        <v>0.78</v>
      </c>
      <c r="AJ16" s="125">
        <f t="shared" si="37"/>
        <v>192.83333333333334</v>
      </c>
      <c r="AK16" s="125">
        <f t="shared" si="8"/>
        <v>138.84</v>
      </c>
      <c r="AL16" s="162"/>
      <c r="AN16" s="123"/>
      <c r="AO16" s="123"/>
      <c r="AP16" s="124">
        <v>0.49</v>
      </c>
      <c r="AQ16" s="125">
        <f t="shared" si="22"/>
        <v>121.13888888888889</v>
      </c>
      <c r="AR16" s="125">
        <f t="shared" si="9"/>
        <v>87.22</v>
      </c>
      <c r="AS16" s="124">
        <v>0.31</v>
      </c>
      <c r="AT16" s="125">
        <f t="shared" si="23"/>
        <v>76.638888888888886</v>
      </c>
      <c r="AU16" s="125">
        <f t="shared" si="10"/>
        <v>55.18</v>
      </c>
      <c r="AV16" s="124">
        <v>0.55000000000000004</v>
      </c>
      <c r="AW16" s="125">
        <f t="shared" si="24"/>
        <v>135.97222222222223</v>
      </c>
      <c r="AX16" s="125">
        <f t="shared" si="11"/>
        <v>97.9</v>
      </c>
      <c r="AY16" s="124">
        <v>0.55000000000000004</v>
      </c>
      <c r="AZ16" s="125">
        <f t="shared" si="25"/>
        <v>135.97222222222223</v>
      </c>
      <c r="BA16" s="125">
        <f t="shared" si="12"/>
        <v>97.9</v>
      </c>
      <c r="BD16" s="139">
        <f t="shared" si="26"/>
        <v>180.47222222222223</v>
      </c>
      <c r="BE16" s="139">
        <f t="shared" si="27"/>
        <v>129.94</v>
      </c>
      <c r="BF16" s="139">
        <f t="shared" si="28"/>
        <v>139.68055555555554</v>
      </c>
      <c r="BG16" s="139">
        <f t="shared" si="29"/>
        <v>100.57</v>
      </c>
      <c r="BH16" s="139">
        <f t="shared" si="30"/>
        <v>182.94444444444446</v>
      </c>
      <c r="BI16" s="139">
        <f t="shared" si="31"/>
        <v>131.72000000000003</v>
      </c>
      <c r="BJ16" s="139">
        <f t="shared" si="32"/>
        <v>182.94444444444446</v>
      </c>
      <c r="BK16" s="139">
        <f>(U16+BA16)/2</f>
        <v>131.72000000000003</v>
      </c>
    </row>
    <row r="17" spans="1:63" ht="14.4">
      <c r="A17" s="126" t="s">
        <v>185</v>
      </c>
      <c r="B17" s="118">
        <v>31</v>
      </c>
      <c r="C17" s="118">
        <f t="shared" si="13"/>
        <v>744</v>
      </c>
      <c r="D17" s="122">
        <f t="shared" si="0"/>
        <v>229.83870967741936</v>
      </c>
      <c r="E17" s="118">
        <v>171</v>
      </c>
      <c r="H17" s="123"/>
      <c r="J17" s="124">
        <v>0.98</v>
      </c>
      <c r="K17" s="125">
        <f t="shared" si="1"/>
        <v>225.24193548387098</v>
      </c>
      <c r="L17" s="125">
        <f t="shared" si="14"/>
        <v>167.57999999999998</v>
      </c>
      <c r="M17" s="124">
        <v>0.81</v>
      </c>
      <c r="N17" s="125">
        <f t="shared" si="2"/>
        <v>186.16935483870969</v>
      </c>
      <c r="O17" s="125">
        <f t="shared" si="15"/>
        <v>138.51000000000002</v>
      </c>
      <c r="P17" s="124">
        <v>0.93</v>
      </c>
      <c r="Q17" s="125">
        <f t="shared" si="3"/>
        <v>213.75000000000003</v>
      </c>
      <c r="R17" s="125">
        <f t="shared" si="16"/>
        <v>159.03</v>
      </c>
      <c r="S17" s="124">
        <v>0.93</v>
      </c>
      <c r="T17" s="125">
        <f t="shared" si="4"/>
        <v>213.75000000000003</v>
      </c>
      <c r="U17" s="125">
        <f t="shared" si="17"/>
        <v>159.03</v>
      </c>
      <c r="X17" s="123"/>
      <c r="Y17" s="123"/>
      <c r="Z17" s="124">
        <v>0.81</v>
      </c>
      <c r="AA17" s="125">
        <f t="shared" si="34"/>
        <v>186.16935483870969</v>
      </c>
      <c r="AB17" s="125">
        <f t="shared" si="5"/>
        <v>138.51000000000002</v>
      </c>
      <c r="AC17" s="124">
        <v>0.42</v>
      </c>
      <c r="AD17" s="125">
        <f t="shared" si="35"/>
        <v>96.532258064516128</v>
      </c>
      <c r="AE17" s="125">
        <f t="shared" si="6"/>
        <v>71.819999999999993</v>
      </c>
      <c r="AF17" s="124">
        <v>0.78</v>
      </c>
      <c r="AG17" s="125">
        <f t="shared" si="36"/>
        <v>179.2741935483871</v>
      </c>
      <c r="AH17" s="125">
        <f t="shared" si="7"/>
        <v>133.38</v>
      </c>
      <c r="AI17" s="124">
        <v>0.78</v>
      </c>
      <c r="AJ17" s="125">
        <f t="shared" si="37"/>
        <v>179.2741935483871</v>
      </c>
      <c r="AK17" s="125">
        <f t="shared" si="8"/>
        <v>133.38</v>
      </c>
      <c r="AL17" s="162"/>
      <c r="AN17" s="123"/>
      <c r="AO17" s="123"/>
      <c r="AP17" s="124">
        <v>0.51</v>
      </c>
      <c r="AQ17" s="125">
        <f t="shared" si="22"/>
        <v>117.21774193548387</v>
      </c>
      <c r="AR17" s="125">
        <f t="shared" si="9"/>
        <v>87.210000000000008</v>
      </c>
      <c r="AS17" s="124">
        <v>0.3</v>
      </c>
      <c r="AT17" s="125">
        <f t="shared" si="23"/>
        <v>68.951612903225808</v>
      </c>
      <c r="AU17" s="125">
        <f t="shared" si="10"/>
        <v>51.3</v>
      </c>
      <c r="AV17" s="124">
        <v>0.55000000000000004</v>
      </c>
      <c r="AW17" s="125">
        <f t="shared" si="24"/>
        <v>126.41129032258065</v>
      </c>
      <c r="AX17" s="125">
        <f t="shared" si="11"/>
        <v>94.050000000000011</v>
      </c>
      <c r="AY17" s="124">
        <v>0.55000000000000004</v>
      </c>
      <c r="AZ17" s="125">
        <f t="shared" si="25"/>
        <v>126.41129032258065</v>
      </c>
      <c r="BA17" s="125">
        <f t="shared" si="12"/>
        <v>94.050000000000011</v>
      </c>
      <c r="BD17" s="139">
        <f t="shared" si="26"/>
        <v>171.22983870967744</v>
      </c>
      <c r="BE17" s="139">
        <f t="shared" si="27"/>
        <v>127.395</v>
      </c>
      <c r="BF17" s="139">
        <f t="shared" si="28"/>
        <v>127.56048387096774</v>
      </c>
      <c r="BG17" s="139">
        <f t="shared" si="29"/>
        <v>94.905000000000001</v>
      </c>
      <c r="BH17" s="139">
        <f t="shared" si="30"/>
        <v>170.08064516129033</v>
      </c>
      <c r="BI17" s="139">
        <f t="shared" si="31"/>
        <v>126.54</v>
      </c>
      <c r="BJ17" s="139">
        <f t="shared" si="32"/>
        <v>170.08064516129033</v>
      </c>
      <c r="BK17" s="139">
        <f t="shared" si="33"/>
        <v>126.54</v>
      </c>
    </row>
    <row r="18" spans="1:63" ht="14.4">
      <c r="A18" s="126" t="s">
        <v>186</v>
      </c>
      <c r="B18" s="118">
        <v>31</v>
      </c>
      <c r="C18" s="118">
        <f t="shared" si="13"/>
        <v>744</v>
      </c>
      <c r="D18" s="122">
        <f t="shared" si="0"/>
        <v>197.58064516129033</v>
      </c>
      <c r="E18" s="118">
        <v>147</v>
      </c>
      <c r="H18" s="123"/>
      <c r="J18" s="124">
        <v>1.05</v>
      </c>
      <c r="K18" s="125">
        <f t="shared" si="1"/>
        <v>207.45967741935485</v>
      </c>
      <c r="L18" s="125">
        <f t="shared" si="14"/>
        <v>154.35</v>
      </c>
      <c r="M18" s="124">
        <v>0.73</v>
      </c>
      <c r="N18" s="125">
        <f t="shared" si="2"/>
        <v>144.23387096774195</v>
      </c>
      <c r="O18" s="125">
        <f t="shared" si="15"/>
        <v>107.31</v>
      </c>
      <c r="P18" s="124">
        <v>0.93</v>
      </c>
      <c r="Q18" s="125">
        <f t="shared" si="3"/>
        <v>183.75000000000003</v>
      </c>
      <c r="R18" s="125">
        <f t="shared" si="16"/>
        <v>136.71</v>
      </c>
      <c r="S18" s="124">
        <v>0.93</v>
      </c>
      <c r="T18" s="125">
        <f t="shared" si="4"/>
        <v>183.75000000000003</v>
      </c>
      <c r="U18" s="125">
        <f t="shared" si="17"/>
        <v>136.71</v>
      </c>
      <c r="X18" s="123"/>
      <c r="Y18" s="123"/>
      <c r="Z18" s="124">
        <v>0.91</v>
      </c>
      <c r="AA18" s="125">
        <f t="shared" si="34"/>
        <v>179.79838709677421</v>
      </c>
      <c r="AB18" s="125">
        <f t="shared" si="5"/>
        <v>133.77000000000001</v>
      </c>
      <c r="AC18" s="124">
        <v>0.34</v>
      </c>
      <c r="AD18" s="125">
        <f t="shared" si="35"/>
        <v>67.177419354838719</v>
      </c>
      <c r="AE18" s="125">
        <f t="shared" si="6"/>
        <v>49.980000000000004</v>
      </c>
      <c r="AF18" s="124">
        <v>0.79</v>
      </c>
      <c r="AG18" s="125">
        <f t="shared" si="36"/>
        <v>156.08870967741936</v>
      </c>
      <c r="AH18" s="125">
        <f t="shared" si="7"/>
        <v>116.13000000000001</v>
      </c>
      <c r="AI18" s="124">
        <v>0.79</v>
      </c>
      <c r="AJ18" s="125">
        <f t="shared" si="37"/>
        <v>156.08870967741936</v>
      </c>
      <c r="AK18" s="125">
        <f t="shared" si="8"/>
        <v>116.13000000000001</v>
      </c>
      <c r="AL18" s="162"/>
      <c r="AN18" s="123"/>
      <c r="AO18" s="123"/>
      <c r="AP18" s="124">
        <v>0.62</v>
      </c>
      <c r="AQ18" s="125">
        <f t="shared" si="22"/>
        <v>122.5</v>
      </c>
      <c r="AR18" s="125">
        <f t="shared" si="9"/>
        <v>91.14</v>
      </c>
      <c r="AS18" s="124">
        <v>0.28999999999999998</v>
      </c>
      <c r="AT18" s="125">
        <f t="shared" si="23"/>
        <v>57.298387096774192</v>
      </c>
      <c r="AU18" s="125">
        <f t="shared" si="10"/>
        <v>42.629999999999995</v>
      </c>
      <c r="AV18" s="124">
        <v>0.57999999999999996</v>
      </c>
      <c r="AW18" s="125">
        <f t="shared" si="24"/>
        <v>114.59677419354838</v>
      </c>
      <c r="AX18" s="125">
        <f t="shared" si="11"/>
        <v>85.259999999999991</v>
      </c>
      <c r="AY18" s="124">
        <v>0.57999999999999996</v>
      </c>
      <c r="AZ18" s="125">
        <f t="shared" si="25"/>
        <v>114.59677419354838</v>
      </c>
      <c r="BA18" s="125">
        <f t="shared" si="12"/>
        <v>85.259999999999991</v>
      </c>
      <c r="BD18" s="139">
        <f t="shared" si="26"/>
        <v>164.97983870967744</v>
      </c>
      <c r="BE18" s="139">
        <f>(L18+AR18)/2</f>
        <v>122.745</v>
      </c>
      <c r="BF18" s="139">
        <f t="shared" si="28"/>
        <v>100.76612903225808</v>
      </c>
      <c r="BG18" s="139">
        <f>(O18+AU18)/2</f>
        <v>74.97</v>
      </c>
      <c r="BH18" s="139">
        <f t="shared" si="30"/>
        <v>149.17338709677421</v>
      </c>
      <c r="BI18" s="139">
        <f t="shared" si="31"/>
        <v>110.985</v>
      </c>
      <c r="BJ18" s="139">
        <f t="shared" si="32"/>
        <v>149.17338709677421</v>
      </c>
      <c r="BK18" s="139">
        <f t="shared" si="33"/>
        <v>110.985</v>
      </c>
    </row>
    <row r="19" spans="1:63" ht="14.4">
      <c r="A19" s="126" t="s">
        <v>187</v>
      </c>
      <c r="B19" s="118">
        <v>30</v>
      </c>
      <c r="C19" s="118">
        <f t="shared" si="13"/>
        <v>720</v>
      </c>
      <c r="D19" s="122">
        <f t="shared" si="0"/>
        <v>154.16666666666666</v>
      </c>
      <c r="E19" s="118">
        <v>111</v>
      </c>
      <c r="H19" s="123"/>
      <c r="J19" s="124">
        <v>1.18</v>
      </c>
      <c r="K19" s="125">
        <f t="shared" si="1"/>
        <v>181.91666666666666</v>
      </c>
      <c r="L19" s="125">
        <f t="shared" si="14"/>
        <v>130.97999999999999</v>
      </c>
      <c r="M19" s="124">
        <v>0.57999999999999996</v>
      </c>
      <c r="N19" s="125">
        <f t="shared" si="2"/>
        <v>89.416666666666657</v>
      </c>
      <c r="O19" s="125">
        <f t="shared" si="15"/>
        <v>64.38</v>
      </c>
      <c r="P19" s="124">
        <v>0.95</v>
      </c>
      <c r="Q19" s="125">
        <f t="shared" si="3"/>
        <v>146.45833333333331</v>
      </c>
      <c r="R19" s="125">
        <f t="shared" si="16"/>
        <v>105.44999999999999</v>
      </c>
      <c r="S19" s="124">
        <v>0.95</v>
      </c>
      <c r="T19" s="125">
        <f t="shared" si="4"/>
        <v>146.45833333333331</v>
      </c>
      <c r="U19" s="125">
        <f t="shared" si="17"/>
        <v>105.44999999999999</v>
      </c>
      <c r="X19" s="123"/>
      <c r="Y19" s="123"/>
      <c r="Z19" s="124">
        <v>1.1200000000000001</v>
      </c>
      <c r="AA19" s="125">
        <f t="shared" si="34"/>
        <v>172.66666666666669</v>
      </c>
      <c r="AB19" s="125">
        <f t="shared" si="5"/>
        <v>124.32000000000001</v>
      </c>
      <c r="AC19" s="124">
        <v>0.3</v>
      </c>
      <c r="AD19" s="125">
        <f t="shared" si="35"/>
        <v>46.249999999999993</v>
      </c>
      <c r="AE19" s="125">
        <f t="shared" si="6"/>
        <v>33.299999999999997</v>
      </c>
      <c r="AF19" s="124">
        <v>0.81</v>
      </c>
      <c r="AG19" s="125">
        <f t="shared" si="36"/>
        <v>124.875</v>
      </c>
      <c r="AH19" s="125">
        <f t="shared" si="7"/>
        <v>89.910000000000011</v>
      </c>
      <c r="AI19" s="124">
        <v>0.81</v>
      </c>
      <c r="AJ19" s="125">
        <f t="shared" si="37"/>
        <v>124.875</v>
      </c>
      <c r="AK19" s="125">
        <f t="shared" si="8"/>
        <v>89.910000000000011</v>
      </c>
      <c r="AL19" s="162"/>
      <c r="AN19" s="123"/>
      <c r="AO19" s="123"/>
      <c r="AP19" s="124">
        <v>0.85</v>
      </c>
      <c r="AQ19" s="125">
        <f t="shared" si="22"/>
        <v>131.04166666666666</v>
      </c>
      <c r="AR19" s="125">
        <f t="shared" si="9"/>
        <v>94.35</v>
      </c>
      <c r="AS19" s="124">
        <v>0.27</v>
      </c>
      <c r="AT19" s="125">
        <f t="shared" si="23"/>
        <v>41.625</v>
      </c>
      <c r="AU19" s="125">
        <f t="shared" si="10"/>
        <v>29.970000000000002</v>
      </c>
      <c r="AV19" s="124">
        <v>0.6</v>
      </c>
      <c r="AW19" s="125">
        <f t="shared" si="24"/>
        <v>92.499999999999986</v>
      </c>
      <c r="AX19" s="125">
        <f t="shared" si="11"/>
        <v>66.599999999999994</v>
      </c>
      <c r="AY19" s="124">
        <v>0.6</v>
      </c>
      <c r="AZ19" s="125">
        <f t="shared" si="25"/>
        <v>92.499999999999986</v>
      </c>
      <c r="BA19" s="125">
        <f t="shared" si="12"/>
        <v>66.599999999999994</v>
      </c>
      <c r="BD19" s="139">
        <f t="shared" si="26"/>
        <v>156.47916666666666</v>
      </c>
      <c r="BE19" s="139">
        <f t="shared" si="27"/>
        <v>112.66499999999999</v>
      </c>
      <c r="BF19" s="139">
        <f t="shared" si="28"/>
        <v>65.520833333333329</v>
      </c>
      <c r="BG19" s="139">
        <f t="shared" si="29"/>
        <v>47.174999999999997</v>
      </c>
      <c r="BH19" s="139">
        <f t="shared" si="30"/>
        <v>119.47916666666666</v>
      </c>
      <c r="BI19" s="139">
        <f t="shared" si="31"/>
        <v>86.024999999999991</v>
      </c>
      <c r="BJ19" s="139">
        <f t="shared" si="32"/>
        <v>119.47916666666666</v>
      </c>
      <c r="BK19" s="139">
        <f>(U19+BA19)/2</f>
        <v>86.024999999999991</v>
      </c>
    </row>
    <row r="20" spans="1:63" ht="14.4">
      <c r="A20" s="126" t="s">
        <v>59</v>
      </c>
      <c r="B20" s="118">
        <v>31</v>
      </c>
      <c r="C20" s="118">
        <f t="shared" si="13"/>
        <v>744</v>
      </c>
      <c r="D20" s="122">
        <f t="shared" si="0"/>
        <v>86.021505376344081</v>
      </c>
      <c r="E20" s="118">
        <v>64</v>
      </c>
      <c r="H20" s="123"/>
      <c r="J20" s="124">
        <v>1.35</v>
      </c>
      <c r="K20" s="125">
        <f t="shared" si="1"/>
        <v>116.12903225806451</v>
      </c>
      <c r="L20" s="125">
        <f t="shared" si="14"/>
        <v>86.4</v>
      </c>
      <c r="M20" s="124">
        <v>0.43</v>
      </c>
      <c r="N20" s="125">
        <f t="shared" si="2"/>
        <v>36.989247311827953</v>
      </c>
      <c r="O20" s="125">
        <f t="shared" si="15"/>
        <v>27.52</v>
      </c>
      <c r="P20" s="124">
        <v>0.96</v>
      </c>
      <c r="Q20" s="125">
        <f t="shared" si="3"/>
        <v>82.58064516129032</v>
      </c>
      <c r="R20" s="125">
        <f t="shared" si="16"/>
        <v>61.44</v>
      </c>
      <c r="S20" s="124">
        <v>0.96</v>
      </c>
      <c r="T20" s="125">
        <f t="shared" si="4"/>
        <v>82.58064516129032</v>
      </c>
      <c r="U20" s="125">
        <f t="shared" si="17"/>
        <v>61.44</v>
      </c>
      <c r="X20" s="123"/>
      <c r="Y20" s="123"/>
      <c r="Z20" s="124">
        <v>1.43</v>
      </c>
      <c r="AA20" s="125">
        <f t="shared" si="34"/>
        <v>123.01075268817203</v>
      </c>
      <c r="AB20" s="125">
        <f t="shared" si="5"/>
        <v>91.52</v>
      </c>
      <c r="AC20" s="124">
        <v>0.33</v>
      </c>
      <c r="AD20" s="125">
        <f t="shared" si="35"/>
        <v>28.387096774193548</v>
      </c>
      <c r="AE20" s="125">
        <f t="shared" si="6"/>
        <v>21.12</v>
      </c>
      <c r="AF20" s="124">
        <v>0.84</v>
      </c>
      <c r="AG20" s="125">
        <f t="shared" si="36"/>
        <v>72.258064516129025</v>
      </c>
      <c r="AH20" s="125">
        <f t="shared" si="7"/>
        <v>53.76</v>
      </c>
      <c r="AI20" s="124">
        <v>0.84</v>
      </c>
      <c r="AJ20" s="125">
        <f t="shared" si="37"/>
        <v>72.258064516129025</v>
      </c>
      <c r="AK20" s="125">
        <f t="shared" si="8"/>
        <v>53.76</v>
      </c>
      <c r="AL20" s="162"/>
      <c r="AN20" s="123"/>
      <c r="AO20" s="123"/>
      <c r="AP20" s="124">
        <v>1.22</v>
      </c>
      <c r="AQ20" s="125">
        <f t="shared" si="22"/>
        <v>104.94623655913978</v>
      </c>
      <c r="AR20" s="125">
        <f t="shared" si="9"/>
        <v>78.08</v>
      </c>
      <c r="AS20" s="124">
        <v>0.28999999999999998</v>
      </c>
      <c r="AT20" s="125">
        <f t="shared" si="23"/>
        <v>24.946236559139781</v>
      </c>
      <c r="AU20" s="125">
        <f t="shared" si="10"/>
        <v>18.559999999999999</v>
      </c>
      <c r="AV20" s="124">
        <v>0.64</v>
      </c>
      <c r="AW20" s="125">
        <f t="shared" si="24"/>
        <v>55.053763440860216</v>
      </c>
      <c r="AX20" s="125">
        <f t="shared" si="11"/>
        <v>40.96</v>
      </c>
      <c r="AY20" s="124">
        <v>0.64</v>
      </c>
      <c r="AZ20" s="125">
        <f t="shared" si="25"/>
        <v>55.053763440860216</v>
      </c>
      <c r="BA20" s="125">
        <f t="shared" si="12"/>
        <v>40.96</v>
      </c>
      <c r="BD20" s="139">
        <f t="shared" si="26"/>
        <v>110.53763440860214</v>
      </c>
      <c r="BE20" s="139">
        <f t="shared" si="27"/>
        <v>82.240000000000009</v>
      </c>
      <c r="BF20" s="139">
        <f t="shared" si="28"/>
        <v>30.967741935483865</v>
      </c>
      <c r="BG20" s="139">
        <f t="shared" si="29"/>
        <v>23.04</v>
      </c>
      <c r="BH20" s="139">
        <f t="shared" si="30"/>
        <v>68.817204301075265</v>
      </c>
      <c r="BI20" s="139">
        <f t="shared" si="31"/>
        <v>51.2</v>
      </c>
      <c r="BJ20" s="139">
        <f t="shared" si="32"/>
        <v>68.817204301075265</v>
      </c>
      <c r="BK20" s="139">
        <f t="shared" si="33"/>
        <v>51.2</v>
      </c>
    </row>
    <row r="21" spans="1:63" ht="14.4">
      <c r="A21" s="126" t="s">
        <v>60</v>
      </c>
      <c r="B21" s="118">
        <v>30</v>
      </c>
      <c r="C21" s="118">
        <f t="shared" si="13"/>
        <v>720</v>
      </c>
      <c r="D21" s="122">
        <f t="shared" si="0"/>
        <v>41.666666666666664</v>
      </c>
      <c r="E21" s="118">
        <v>30</v>
      </c>
      <c r="H21" s="123"/>
      <c r="J21" s="124">
        <v>1.53</v>
      </c>
      <c r="K21" s="125">
        <f t="shared" si="1"/>
        <v>63.75</v>
      </c>
      <c r="L21" s="125">
        <f t="shared" si="14"/>
        <v>45.9</v>
      </c>
      <c r="M21" s="124">
        <v>0.45</v>
      </c>
      <c r="N21" s="125">
        <f t="shared" si="2"/>
        <v>18.75</v>
      </c>
      <c r="O21" s="125">
        <f t="shared" si="15"/>
        <v>13.5</v>
      </c>
      <c r="P21" s="124">
        <v>0.98</v>
      </c>
      <c r="Q21" s="125">
        <f t="shared" si="3"/>
        <v>40.833333333333329</v>
      </c>
      <c r="R21" s="125">
        <f t="shared" si="16"/>
        <v>29.4</v>
      </c>
      <c r="S21" s="124">
        <v>0.98</v>
      </c>
      <c r="T21" s="125">
        <f t="shared" si="4"/>
        <v>40.833333333333329</v>
      </c>
      <c r="U21" s="125">
        <f t="shared" si="17"/>
        <v>29.4</v>
      </c>
      <c r="X21" s="123"/>
      <c r="Y21" s="123"/>
      <c r="Z21" s="124">
        <v>1.76</v>
      </c>
      <c r="AA21" s="125">
        <f t="shared" si="34"/>
        <v>73.333333333333329</v>
      </c>
      <c r="AB21" s="125">
        <f t="shared" si="5"/>
        <v>52.8</v>
      </c>
      <c r="AC21" s="124">
        <v>0.39</v>
      </c>
      <c r="AD21" s="125">
        <f t="shared" si="35"/>
        <v>16.25</v>
      </c>
      <c r="AE21" s="125">
        <f t="shared" si="6"/>
        <v>11.700000000000001</v>
      </c>
      <c r="AF21" s="124">
        <v>0.85</v>
      </c>
      <c r="AG21" s="125">
        <f t="shared" si="36"/>
        <v>35.416666666666664</v>
      </c>
      <c r="AH21" s="125">
        <f t="shared" si="7"/>
        <v>25.5</v>
      </c>
      <c r="AI21" s="124">
        <v>0.85</v>
      </c>
      <c r="AJ21" s="125">
        <f t="shared" si="37"/>
        <v>35.416666666666664</v>
      </c>
      <c r="AK21" s="125">
        <f t="shared" si="8"/>
        <v>25.5</v>
      </c>
      <c r="AL21" s="162"/>
      <c r="AN21" s="123"/>
      <c r="AO21" s="123"/>
      <c r="AP21" s="124">
        <v>1.62</v>
      </c>
      <c r="AQ21" s="125">
        <f t="shared" si="22"/>
        <v>67.5</v>
      </c>
      <c r="AR21" s="125">
        <f t="shared" si="9"/>
        <v>48.6</v>
      </c>
      <c r="AS21" s="124">
        <v>0.35</v>
      </c>
      <c r="AT21" s="125">
        <f t="shared" si="23"/>
        <v>14.583333333333332</v>
      </c>
      <c r="AU21" s="125">
        <f t="shared" si="10"/>
        <v>10.5</v>
      </c>
      <c r="AV21" s="124">
        <v>0.64</v>
      </c>
      <c r="AW21" s="125">
        <f t="shared" si="24"/>
        <v>26.666666666666664</v>
      </c>
      <c r="AX21" s="125">
        <f t="shared" si="11"/>
        <v>19.2</v>
      </c>
      <c r="AY21" s="124">
        <v>0.64</v>
      </c>
      <c r="AZ21" s="125">
        <f t="shared" si="25"/>
        <v>26.666666666666664</v>
      </c>
      <c r="BA21" s="125">
        <f t="shared" si="12"/>
        <v>19.2</v>
      </c>
      <c r="BD21" s="139">
        <f t="shared" si="26"/>
        <v>65.625</v>
      </c>
      <c r="BE21" s="139">
        <f t="shared" si="27"/>
        <v>47.25</v>
      </c>
      <c r="BF21" s="139">
        <f t="shared" si="28"/>
        <v>16.666666666666664</v>
      </c>
      <c r="BG21" s="139">
        <f t="shared" si="29"/>
        <v>12</v>
      </c>
      <c r="BH21" s="139">
        <f t="shared" si="30"/>
        <v>33.75</v>
      </c>
      <c r="BI21" s="139">
        <f t="shared" si="31"/>
        <v>24.299999999999997</v>
      </c>
      <c r="BJ21" s="139">
        <f t="shared" si="32"/>
        <v>33.75</v>
      </c>
      <c r="BK21" s="139">
        <f t="shared" si="33"/>
        <v>24.299999999999997</v>
      </c>
    </row>
    <row r="22" spans="1:63" ht="15" thickBot="1">
      <c r="A22" s="127" t="s">
        <v>61</v>
      </c>
      <c r="B22" s="118">
        <v>31</v>
      </c>
      <c r="C22" s="118">
        <f t="shared" si="13"/>
        <v>744</v>
      </c>
      <c r="D22" s="122">
        <f t="shared" si="0"/>
        <v>26.881720430107528</v>
      </c>
      <c r="E22" s="118">
        <v>20</v>
      </c>
      <c r="H22" s="123"/>
      <c r="J22" s="124">
        <v>1.81</v>
      </c>
      <c r="K22" s="125">
        <f t="shared" si="1"/>
        <v>48.655913978494624</v>
      </c>
      <c r="L22" s="125">
        <f t="shared" si="14"/>
        <v>36.200000000000003</v>
      </c>
      <c r="M22" s="124">
        <v>0.45</v>
      </c>
      <c r="N22" s="125">
        <f t="shared" si="2"/>
        <v>12.096774193548388</v>
      </c>
      <c r="O22" s="125">
        <f t="shared" si="15"/>
        <v>9</v>
      </c>
      <c r="P22" s="124">
        <v>1</v>
      </c>
      <c r="Q22" s="125">
        <f t="shared" si="3"/>
        <v>26.881720430107528</v>
      </c>
      <c r="R22" s="125">
        <f t="shared" si="16"/>
        <v>20</v>
      </c>
      <c r="S22" s="124">
        <v>1</v>
      </c>
      <c r="T22" s="125">
        <f t="shared" si="4"/>
        <v>26.881720430107528</v>
      </c>
      <c r="U22" s="125">
        <f t="shared" si="17"/>
        <v>20</v>
      </c>
      <c r="X22" s="123"/>
      <c r="Y22" s="123"/>
      <c r="Z22" s="124">
        <v>2.23</v>
      </c>
      <c r="AA22" s="125">
        <f t="shared" si="34"/>
        <v>59.946236559139784</v>
      </c>
      <c r="AB22" s="125">
        <f t="shared" si="5"/>
        <v>44.6</v>
      </c>
      <c r="AC22" s="124">
        <v>0.42</v>
      </c>
      <c r="AD22" s="125">
        <f t="shared" si="35"/>
        <v>11.290322580645162</v>
      </c>
      <c r="AE22" s="125">
        <f t="shared" si="6"/>
        <v>8.4</v>
      </c>
      <c r="AF22" s="124">
        <v>0.9</v>
      </c>
      <c r="AG22" s="125">
        <f t="shared" si="36"/>
        <v>24.193548387096776</v>
      </c>
      <c r="AH22" s="125">
        <f t="shared" si="7"/>
        <v>18</v>
      </c>
      <c r="AI22" s="124">
        <v>0.9</v>
      </c>
      <c r="AJ22" s="125">
        <f t="shared" si="37"/>
        <v>24.193548387096776</v>
      </c>
      <c r="AK22" s="125">
        <f t="shared" si="8"/>
        <v>18</v>
      </c>
      <c r="AL22" s="162"/>
      <c r="AN22" s="123"/>
      <c r="AO22" s="123"/>
      <c r="AP22" s="124">
        <v>2.19</v>
      </c>
      <c r="AQ22" s="125">
        <f t="shared" si="22"/>
        <v>58.870967741935488</v>
      </c>
      <c r="AR22" s="125">
        <f t="shared" si="9"/>
        <v>43.8</v>
      </c>
      <c r="AS22" s="124">
        <v>0.43</v>
      </c>
      <c r="AT22" s="125">
        <f t="shared" si="23"/>
        <v>11.559139784946236</v>
      </c>
      <c r="AU22" s="125">
        <f t="shared" si="10"/>
        <v>8.6</v>
      </c>
      <c r="AV22" s="124">
        <v>0.75</v>
      </c>
      <c r="AW22" s="125">
        <f t="shared" si="24"/>
        <v>20.161290322580648</v>
      </c>
      <c r="AX22" s="125">
        <f t="shared" si="11"/>
        <v>15</v>
      </c>
      <c r="AY22" s="124">
        <v>0.75</v>
      </c>
      <c r="AZ22" s="125">
        <f t="shared" si="25"/>
        <v>20.161290322580648</v>
      </c>
      <c r="BA22" s="125">
        <f t="shared" si="12"/>
        <v>15</v>
      </c>
      <c r="BD22" s="139">
        <f t="shared" si="26"/>
        <v>53.763440860215056</v>
      </c>
      <c r="BE22" s="139">
        <f t="shared" si="27"/>
        <v>40</v>
      </c>
      <c r="BF22" s="139">
        <f t="shared" si="28"/>
        <v>11.827956989247312</v>
      </c>
      <c r="BG22" s="139">
        <f t="shared" si="29"/>
        <v>8.8000000000000007</v>
      </c>
      <c r="BH22" s="139">
        <f t="shared" si="30"/>
        <v>23.521505376344088</v>
      </c>
      <c r="BI22" s="139">
        <f t="shared" si="31"/>
        <v>17.5</v>
      </c>
      <c r="BJ22" s="139">
        <f t="shared" si="32"/>
        <v>23.521505376344088</v>
      </c>
      <c r="BK22" s="139">
        <f t="shared" si="33"/>
        <v>17.5</v>
      </c>
    </row>
    <row r="24" spans="1:63">
      <c r="A24" s="128" t="s">
        <v>201</v>
      </c>
      <c r="B24" s="120" t="s">
        <v>172</v>
      </c>
      <c r="C24" s="120" t="s">
        <v>173</v>
      </c>
      <c r="E24" s="120" t="s">
        <v>174</v>
      </c>
      <c r="F24" s="120"/>
      <c r="G24" s="120"/>
      <c r="J24" s="305" t="s">
        <v>177</v>
      </c>
      <c r="K24" s="306"/>
      <c r="L24" s="307"/>
      <c r="M24" s="305" t="s">
        <v>178</v>
      </c>
      <c r="N24" s="306"/>
      <c r="O24" s="307"/>
      <c r="P24" s="305" t="s">
        <v>179</v>
      </c>
      <c r="Q24" s="306"/>
      <c r="R24" s="306"/>
      <c r="S24" s="308" t="s">
        <v>180</v>
      </c>
      <c r="T24" s="308"/>
      <c r="U24" s="308"/>
      <c r="Z24" s="305" t="s">
        <v>177</v>
      </c>
      <c r="AA24" s="306"/>
      <c r="AB24" s="307"/>
      <c r="AC24" s="305" t="s">
        <v>178</v>
      </c>
      <c r="AD24" s="306"/>
      <c r="AE24" s="307"/>
      <c r="AF24" s="305" t="s">
        <v>179</v>
      </c>
      <c r="AG24" s="306"/>
      <c r="AH24" s="306"/>
      <c r="AI24" s="308" t="s">
        <v>180</v>
      </c>
      <c r="AJ24" s="308"/>
      <c r="AK24" s="308"/>
      <c r="AL24" s="128"/>
      <c r="AP24" s="305" t="s">
        <v>177</v>
      </c>
      <c r="AQ24" s="306"/>
      <c r="AR24" s="307"/>
      <c r="AS24" s="305" t="s">
        <v>178</v>
      </c>
      <c r="AT24" s="306"/>
      <c r="AU24" s="307"/>
      <c r="AV24" s="305" t="s">
        <v>179</v>
      </c>
      <c r="AW24" s="306"/>
      <c r="AX24" s="306"/>
      <c r="AY24" s="308" t="s">
        <v>180</v>
      </c>
      <c r="AZ24" s="308"/>
      <c r="BA24" s="308"/>
      <c r="BD24" s="310" t="s">
        <v>177</v>
      </c>
      <c r="BE24" s="311"/>
      <c r="BF24" s="310" t="s">
        <v>178</v>
      </c>
      <c r="BG24" s="311"/>
      <c r="BH24" s="310" t="s">
        <v>181</v>
      </c>
      <c r="BI24" s="311"/>
      <c r="BJ24" s="308" t="s">
        <v>180</v>
      </c>
      <c r="BK24" s="308"/>
    </row>
    <row r="25" spans="1:63" ht="13.8" thickBot="1">
      <c r="D25" s="118" t="s">
        <v>176</v>
      </c>
      <c r="E25" s="118" t="s">
        <v>175</v>
      </c>
      <c r="J25" s="117" t="s">
        <v>205</v>
      </c>
      <c r="K25" s="117" t="s">
        <v>176</v>
      </c>
      <c r="L25" s="117" t="s">
        <v>175</v>
      </c>
      <c r="M25" s="117" t="s">
        <v>205</v>
      </c>
      <c r="N25" s="117" t="s">
        <v>176</v>
      </c>
      <c r="O25" s="117" t="s">
        <v>175</v>
      </c>
      <c r="P25" s="117" t="s">
        <v>205</v>
      </c>
      <c r="Q25" s="117" t="s">
        <v>176</v>
      </c>
      <c r="R25" s="117" t="s">
        <v>175</v>
      </c>
      <c r="S25" s="137" t="s">
        <v>205</v>
      </c>
      <c r="T25" s="137" t="s">
        <v>176</v>
      </c>
      <c r="U25" s="137" t="s">
        <v>175</v>
      </c>
      <c r="Z25" s="117" t="s">
        <v>205</v>
      </c>
      <c r="AA25" s="117" t="s">
        <v>176</v>
      </c>
      <c r="AB25" s="117" t="s">
        <v>175</v>
      </c>
      <c r="AC25" s="117" t="s">
        <v>205</v>
      </c>
      <c r="AD25" s="117" t="s">
        <v>176</v>
      </c>
      <c r="AE25" s="117" t="s">
        <v>175</v>
      </c>
      <c r="AF25" s="117" t="s">
        <v>205</v>
      </c>
      <c r="AG25" s="117" t="s">
        <v>176</v>
      </c>
      <c r="AH25" s="117" t="s">
        <v>175</v>
      </c>
      <c r="AI25" s="137" t="s">
        <v>205</v>
      </c>
      <c r="AJ25" s="137" t="s">
        <v>176</v>
      </c>
      <c r="AK25" s="137" t="s">
        <v>175</v>
      </c>
      <c r="AP25" s="117" t="s">
        <v>205</v>
      </c>
      <c r="AQ25" s="117" t="s">
        <v>176</v>
      </c>
      <c r="AR25" s="117" t="s">
        <v>175</v>
      </c>
      <c r="AS25" s="117" t="s">
        <v>205</v>
      </c>
      <c r="AT25" s="117" t="s">
        <v>176</v>
      </c>
      <c r="AU25" s="117" t="s">
        <v>175</v>
      </c>
      <c r="AV25" s="117" t="s">
        <v>205</v>
      </c>
      <c r="AW25" s="117" t="s">
        <v>176</v>
      </c>
      <c r="AX25" s="117" t="s">
        <v>175</v>
      </c>
      <c r="AY25" s="137" t="s">
        <v>205</v>
      </c>
      <c r="AZ25" s="137" t="s">
        <v>176</v>
      </c>
      <c r="BA25" s="137" t="s">
        <v>175</v>
      </c>
      <c r="BD25" s="137" t="s">
        <v>176</v>
      </c>
      <c r="BE25" s="137" t="s">
        <v>175</v>
      </c>
      <c r="BF25" s="137" t="s">
        <v>176</v>
      </c>
      <c r="BG25" s="137" t="s">
        <v>175</v>
      </c>
      <c r="BH25" s="137" t="s">
        <v>176</v>
      </c>
      <c r="BI25" s="137" t="s">
        <v>175</v>
      </c>
      <c r="BJ25" s="137" t="s">
        <v>176</v>
      </c>
      <c r="BK25" s="137" t="s">
        <v>175</v>
      </c>
    </row>
    <row r="26" spans="1:63" ht="14.4">
      <c r="A26" s="121" t="s">
        <v>55</v>
      </c>
      <c r="B26" s="118">
        <v>31</v>
      </c>
      <c r="C26" s="118">
        <f>B26*24</f>
        <v>744</v>
      </c>
      <c r="D26" s="122">
        <f t="shared" ref="D26:D37" si="38">E26*1000/C26</f>
        <v>38.978494623655912</v>
      </c>
      <c r="E26" s="118">
        <v>29</v>
      </c>
      <c r="H26" s="123"/>
      <c r="J26" s="124">
        <v>1.61</v>
      </c>
      <c r="K26" s="125">
        <f t="shared" ref="K26:K37" si="39">J26*D26</f>
        <v>62.755376344086024</v>
      </c>
      <c r="L26" s="125">
        <f>$E26*J26</f>
        <v>46.690000000000005</v>
      </c>
      <c r="M26" s="124">
        <v>0.52</v>
      </c>
      <c r="N26" s="125">
        <f t="shared" ref="N26:N37" si="40">M26*D26</f>
        <v>20.268817204301076</v>
      </c>
      <c r="O26" s="125">
        <f>$E26*M26</f>
        <v>15.08</v>
      </c>
      <c r="P26" s="124">
        <v>1</v>
      </c>
      <c r="Q26" s="125">
        <f t="shared" ref="Q26:Q37" si="41">P26*D26</f>
        <v>38.978494623655912</v>
      </c>
      <c r="R26" s="125">
        <f>$E26*P26</f>
        <v>29</v>
      </c>
      <c r="S26" s="124">
        <v>1</v>
      </c>
      <c r="T26" s="125">
        <f t="shared" ref="T26:T37" si="42">S26*D26</f>
        <v>38.978494623655912</v>
      </c>
      <c r="U26" s="125">
        <f>$E26*S26</f>
        <v>29</v>
      </c>
      <c r="X26" s="123"/>
      <c r="Y26" s="123"/>
      <c r="Z26" s="124">
        <v>1.94</v>
      </c>
      <c r="AA26" s="125">
        <f>Z26*$D26</f>
        <v>75.618279569892465</v>
      </c>
      <c r="AB26" s="125">
        <f t="shared" ref="AB26:AB37" si="43">$E26*Z26</f>
        <v>56.26</v>
      </c>
      <c r="AC26" s="124">
        <v>0.51</v>
      </c>
      <c r="AD26" s="125">
        <f>AC26*$D26</f>
        <v>19.879032258064516</v>
      </c>
      <c r="AE26" s="125">
        <f t="shared" ref="AE26:AE37" si="44">$E26*AC26</f>
        <v>14.790000000000001</v>
      </c>
      <c r="AF26" s="124">
        <v>0.95</v>
      </c>
      <c r="AG26" s="125">
        <f>AF26*$D26</f>
        <v>37.029569892473113</v>
      </c>
      <c r="AH26" s="125">
        <f t="shared" ref="AH26:AH37" si="45">$E26*AF26</f>
        <v>27.549999999999997</v>
      </c>
      <c r="AI26" s="124">
        <v>0.95</v>
      </c>
      <c r="AJ26" s="125">
        <f>AI26*$D26</f>
        <v>37.029569892473113</v>
      </c>
      <c r="AK26" s="125">
        <f t="shared" ref="AK26:AK37" si="46">$E26*AI26</f>
        <v>27.549999999999997</v>
      </c>
      <c r="AL26" s="162"/>
      <c r="AN26" s="123"/>
      <c r="AO26" s="123"/>
      <c r="AP26" s="124">
        <v>1.92</v>
      </c>
      <c r="AQ26" s="125">
        <f>AP26*$D26</f>
        <v>74.838709677419345</v>
      </c>
      <c r="AR26" s="125">
        <f t="shared" ref="AR26:AR37" si="47">$E26*AP26</f>
        <v>55.68</v>
      </c>
      <c r="AS26" s="124">
        <v>0.55000000000000004</v>
      </c>
      <c r="AT26" s="125">
        <f>AS26*$D26</f>
        <v>21.438172043010752</v>
      </c>
      <c r="AU26" s="125">
        <f t="shared" ref="AU26:AU37" si="48">$E26*AS26</f>
        <v>15.950000000000001</v>
      </c>
      <c r="AV26" s="124">
        <v>0.85</v>
      </c>
      <c r="AW26" s="125">
        <f>AV26*$D26</f>
        <v>33.131720430107528</v>
      </c>
      <c r="AX26" s="125">
        <f t="shared" ref="AX26:AX37" si="49">$E26*AV26</f>
        <v>24.65</v>
      </c>
      <c r="AY26" s="124">
        <v>0.85</v>
      </c>
      <c r="AZ26" s="125">
        <f>AY26*$D26</f>
        <v>33.131720430107528</v>
      </c>
      <c r="BA26" s="125">
        <f t="shared" ref="BA26:BA37" si="50">$E26*AY26</f>
        <v>24.65</v>
      </c>
      <c r="BD26" s="139">
        <f>(K26+AQ26)/2</f>
        <v>68.797043010752688</v>
      </c>
      <c r="BE26" s="139">
        <f>(L26+AR26)/2</f>
        <v>51.185000000000002</v>
      </c>
      <c r="BF26" s="139">
        <f>(N26+AT26)/2</f>
        <v>20.853494623655912</v>
      </c>
      <c r="BG26" s="139">
        <f>(O26+AU26)/2</f>
        <v>15.515000000000001</v>
      </c>
      <c r="BH26" s="139">
        <f>(Q26+AW26)/2</f>
        <v>36.05510752688172</v>
      </c>
      <c r="BI26" s="139">
        <f>(R26+AX26)/2</f>
        <v>26.824999999999999</v>
      </c>
      <c r="BJ26" s="139">
        <f>(T26+AZ26)/2</f>
        <v>36.05510752688172</v>
      </c>
      <c r="BK26" s="139">
        <f>(U26+BA26)/2</f>
        <v>26.824999999999999</v>
      </c>
    </row>
    <row r="27" spans="1:63" ht="14.4">
      <c r="A27" s="126" t="s">
        <v>56</v>
      </c>
      <c r="B27" s="118">
        <v>28</v>
      </c>
      <c r="C27" s="118">
        <f t="shared" ref="C27:C37" si="51">B27*24</f>
        <v>672</v>
      </c>
      <c r="D27" s="122">
        <f t="shared" si="38"/>
        <v>77.38095238095238</v>
      </c>
      <c r="E27" s="118">
        <v>52</v>
      </c>
      <c r="H27" s="123"/>
      <c r="J27" s="124">
        <v>1.45</v>
      </c>
      <c r="K27" s="125">
        <f t="shared" si="39"/>
        <v>112.20238095238095</v>
      </c>
      <c r="L27" s="125">
        <f t="shared" ref="L27:L37" si="52">$E27*J27</f>
        <v>75.399999999999991</v>
      </c>
      <c r="M27" s="124">
        <v>0.45</v>
      </c>
      <c r="N27" s="125">
        <f t="shared" si="40"/>
        <v>34.821428571428569</v>
      </c>
      <c r="O27" s="125">
        <f t="shared" ref="O27:O37" si="53">$E27*M27</f>
        <v>23.400000000000002</v>
      </c>
      <c r="P27" s="124">
        <v>0.98</v>
      </c>
      <c r="Q27" s="125">
        <f t="shared" si="41"/>
        <v>75.833333333333329</v>
      </c>
      <c r="R27" s="125">
        <f t="shared" ref="R27:R37" si="54">$E27*P27</f>
        <v>50.96</v>
      </c>
      <c r="S27" s="124">
        <v>0.98</v>
      </c>
      <c r="T27" s="125">
        <f t="shared" si="42"/>
        <v>75.833333333333329</v>
      </c>
      <c r="U27" s="125">
        <f t="shared" ref="U27:U37" si="55">$E27*S27</f>
        <v>50.96</v>
      </c>
      <c r="X27" s="123"/>
      <c r="Y27" s="123"/>
      <c r="Z27" s="124">
        <v>1.64</v>
      </c>
      <c r="AA27" s="125">
        <f t="shared" ref="AA27:AA28" si="56">Z27*$D27</f>
        <v>126.9047619047619</v>
      </c>
      <c r="AB27" s="125">
        <f t="shared" si="43"/>
        <v>85.28</v>
      </c>
      <c r="AC27" s="124">
        <v>0.44</v>
      </c>
      <c r="AD27" s="125">
        <f t="shared" ref="AD27:AD28" si="57">AC27*$D27</f>
        <v>34.047619047619044</v>
      </c>
      <c r="AE27" s="125">
        <f t="shared" si="44"/>
        <v>22.88</v>
      </c>
      <c r="AF27" s="124">
        <v>0.92</v>
      </c>
      <c r="AG27" s="125">
        <f t="shared" ref="AG27:AG28" si="58">AF27*$D27</f>
        <v>71.19047619047619</v>
      </c>
      <c r="AH27" s="125">
        <f t="shared" si="45"/>
        <v>47.84</v>
      </c>
      <c r="AI27" s="124">
        <v>0.92</v>
      </c>
      <c r="AJ27" s="125">
        <f t="shared" ref="AJ27:AJ28" si="59">AI27*$D27</f>
        <v>71.19047619047619</v>
      </c>
      <c r="AK27" s="125">
        <f t="shared" si="46"/>
        <v>47.84</v>
      </c>
      <c r="AL27" s="162"/>
      <c r="AN27" s="123"/>
      <c r="AO27" s="123"/>
      <c r="AP27" s="124">
        <v>1.54</v>
      </c>
      <c r="AQ27" s="125">
        <f t="shared" ref="AQ27:AQ37" si="60">AP27*$D27</f>
        <v>119.16666666666667</v>
      </c>
      <c r="AR27" s="125">
        <f t="shared" si="47"/>
        <v>80.08</v>
      </c>
      <c r="AS27" s="124">
        <v>0.47</v>
      </c>
      <c r="AT27" s="125">
        <f t="shared" ref="AT27:AT37" si="61">AS27*$D27</f>
        <v>36.369047619047613</v>
      </c>
      <c r="AU27" s="125">
        <f t="shared" si="48"/>
        <v>24.439999999999998</v>
      </c>
      <c r="AV27" s="124">
        <v>0.8</v>
      </c>
      <c r="AW27" s="125">
        <f t="shared" ref="AW27:AW37" si="62">AV27*$D27</f>
        <v>61.904761904761905</v>
      </c>
      <c r="AX27" s="125">
        <f t="shared" si="49"/>
        <v>41.6</v>
      </c>
      <c r="AY27" s="124">
        <v>0.8</v>
      </c>
      <c r="AZ27" s="125">
        <f t="shared" ref="AZ27:AZ37" si="63">AY27*$D27</f>
        <v>61.904761904761905</v>
      </c>
      <c r="BA27" s="125">
        <f t="shared" si="50"/>
        <v>41.6</v>
      </c>
      <c r="BD27" s="139">
        <f t="shared" ref="BD27:BD37" si="64">(K27+AQ27)/2</f>
        <v>115.68452380952381</v>
      </c>
      <c r="BE27" s="139">
        <f t="shared" ref="BE27:BE32" si="65">(L27+AR27)/2</f>
        <v>77.739999999999995</v>
      </c>
      <c r="BF27" s="139">
        <f t="shared" ref="BF27:BF37" si="66">(N27+AT27)/2</f>
        <v>35.595238095238088</v>
      </c>
      <c r="BG27" s="139">
        <f t="shared" ref="BG27:BG32" si="67">(O27+AU27)/2</f>
        <v>23.92</v>
      </c>
      <c r="BH27" s="139">
        <f t="shared" ref="BH27:BH37" si="68">(Q27+AW27)/2</f>
        <v>68.86904761904762</v>
      </c>
      <c r="BI27" s="139">
        <f t="shared" ref="BI27:BI37" si="69">(R27+AX27)/2</f>
        <v>46.28</v>
      </c>
      <c r="BJ27" s="139">
        <f t="shared" ref="BJ27:BJ37" si="70">(T27+AZ27)/2</f>
        <v>68.86904761904762</v>
      </c>
      <c r="BK27" s="139">
        <f t="shared" ref="BK27:BK30" si="71">(U27+BA27)/2</f>
        <v>46.28</v>
      </c>
    </row>
    <row r="28" spans="1:63" ht="14.4">
      <c r="A28" s="126" t="s">
        <v>57</v>
      </c>
      <c r="B28" s="118">
        <v>31</v>
      </c>
      <c r="C28" s="118">
        <f t="shared" si="51"/>
        <v>744</v>
      </c>
      <c r="D28" s="122">
        <f t="shared" si="38"/>
        <v>127.68817204301075</v>
      </c>
      <c r="E28" s="118">
        <v>95</v>
      </c>
      <c r="H28" s="123"/>
      <c r="J28" s="124">
        <v>1.25</v>
      </c>
      <c r="K28" s="125">
        <f t="shared" si="39"/>
        <v>159.61021505376345</v>
      </c>
      <c r="L28" s="125">
        <f t="shared" si="52"/>
        <v>118.75</v>
      </c>
      <c r="M28" s="124">
        <v>0.52</v>
      </c>
      <c r="N28" s="125">
        <f t="shared" si="40"/>
        <v>66.397849462365599</v>
      </c>
      <c r="O28" s="125">
        <f t="shared" si="53"/>
        <v>49.4</v>
      </c>
      <c r="P28" s="124">
        <v>0.96</v>
      </c>
      <c r="Q28" s="125">
        <f t="shared" si="41"/>
        <v>122.58064516129032</v>
      </c>
      <c r="R28" s="125">
        <f t="shared" si="54"/>
        <v>91.2</v>
      </c>
      <c r="S28" s="124">
        <v>0.96</v>
      </c>
      <c r="T28" s="125">
        <f t="shared" si="42"/>
        <v>122.58064516129032</v>
      </c>
      <c r="U28" s="125">
        <f t="shared" si="55"/>
        <v>91.2</v>
      </c>
      <c r="X28" s="123"/>
      <c r="Y28" s="123"/>
      <c r="Z28" s="124">
        <v>1.28</v>
      </c>
      <c r="AA28" s="125">
        <f t="shared" si="56"/>
        <v>163.44086021505376</v>
      </c>
      <c r="AB28" s="125">
        <f t="shared" si="43"/>
        <v>121.60000000000001</v>
      </c>
      <c r="AC28" s="124">
        <v>0.35</v>
      </c>
      <c r="AD28" s="125">
        <f t="shared" si="57"/>
        <v>44.69086021505376</v>
      </c>
      <c r="AE28" s="125">
        <f t="shared" si="44"/>
        <v>33.25</v>
      </c>
      <c r="AF28" s="124">
        <v>0.85</v>
      </c>
      <c r="AG28" s="125">
        <f t="shared" si="58"/>
        <v>108.53494623655914</v>
      </c>
      <c r="AH28" s="125">
        <f t="shared" si="45"/>
        <v>80.75</v>
      </c>
      <c r="AI28" s="124">
        <v>0.85</v>
      </c>
      <c r="AJ28" s="125">
        <f t="shared" si="59"/>
        <v>108.53494623655914</v>
      </c>
      <c r="AK28" s="125">
        <f t="shared" si="46"/>
        <v>80.75</v>
      </c>
      <c r="AL28" s="162"/>
      <c r="AN28" s="123"/>
      <c r="AO28" s="123"/>
      <c r="AP28" s="124">
        <v>1.06</v>
      </c>
      <c r="AQ28" s="125">
        <f t="shared" si="60"/>
        <v>135.34946236559139</v>
      </c>
      <c r="AR28" s="125">
        <f t="shared" si="47"/>
        <v>100.7</v>
      </c>
      <c r="AS28" s="124">
        <v>0.34</v>
      </c>
      <c r="AT28" s="125">
        <f t="shared" si="61"/>
        <v>43.413978494623656</v>
      </c>
      <c r="AU28" s="125">
        <f t="shared" si="48"/>
        <v>32.300000000000004</v>
      </c>
      <c r="AV28" s="124">
        <v>0.67</v>
      </c>
      <c r="AW28" s="125">
        <f t="shared" si="62"/>
        <v>85.551075268817215</v>
      </c>
      <c r="AX28" s="125">
        <f t="shared" si="49"/>
        <v>63.650000000000006</v>
      </c>
      <c r="AY28" s="124">
        <v>0.67</v>
      </c>
      <c r="AZ28" s="125">
        <f t="shared" si="63"/>
        <v>85.551075268817215</v>
      </c>
      <c r="BA28" s="125">
        <f t="shared" si="50"/>
        <v>63.650000000000006</v>
      </c>
      <c r="BD28" s="139">
        <f t="shared" si="64"/>
        <v>147.47983870967744</v>
      </c>
      <c r="BE28" s="139">
        <f t="shared" si="65"/>
        <v>109.72499999999999</v>
      </c>
      <c r="BF28" s="139">
        <f t="shared" si="66"/>
        <v>54.905913978494624</v>
      </c>
      <c r="BG28" s="139">
        <f t="shared" si="67"/>
        <v>40.85</v>
      </c>
      <c r="BH28" s="139">
        <f t="shared" si="68"/>
        <v>104.06586021505376</v>
      </c>
      <c r="BI28" s="139">
        <f t="shared" si="69"/>
        <v>77.425000000000011</v>
      </c>
      <c r="BJ28" s="139">
        <f t="shared" si="70"/>
        <v>104.06586021505376</v>
      </c>
      <c r="BK28" s="139">
        <f t="shared" si="71"/>
        <v>77.425000000000011</v>
      </c>
    </row>
    <row r="29" spans="1:63" ht="14.4">
      <c r="A29" s="126" t="s">
        <v>58</v>
      </c>
      <c r="B29" s="118">
        <v>30</v>
      </c>
      <c r="C29" s="118">
        <f t="shared" si="51"/>
        <v>720</v>
      </c>
      <c r="D29" s="122">
        <f t="shared" si="38"/>
        <v>191.66666666666666</v>
      </c>
      <c r="E29" s="118">
        <v>138</v>
      </c>
      <c r="H29" s="123"/>
      <c r="J29" s="124">
        <v>1.0900000000000001</v>
      </c>
      <c r="K29" s="125">
        <f t="shared" si="39"/>
        <v>208.91666666666669</v>
      </c>
      <c r="L29" s="125">
        <f t="shared" si="52"/>
        <v>150.42000000000002</v>
      </c>
      <c r="M29" s="124">
        <v>0.68</v>
      </c>
      <c r="N29" s="125">
        <f t="shared" si="40"/>
        <v>130.33333333333334</v>
      </c>
      <c r="O29" s="125">
        <f t="shared" si="53"/>
        <v>93.84</v>
      </c>
      <c r="P29" s="124">
        <v>0.94</v>
      </c>
      <c r="Q29" s="125">
        <f t="shared" si="41"/>
        <v>180.16666666666666</v>
      </c>
      <c r="R29" s="125">
        <f t="shared" si="54"/>
        <v>129.72</v>
      </c>
      <c r="S29" s="124">
        <v>0.94</v>
      </c>
      <c r="T29" s="125">
        <f t="shared" si="42"/>
        <v>180.16666666666666</v>
      </c>
      <c r="U29" s="125">
        <f t="shared" si="55"/>
        <v>129.72</v>
      </c>
      <c r="X29" s="123"/>
      <c r="Y29" s="123"/>
      <c r="Z29" s="124">
        <v>0.99</v>
      </c>
      <c r="AA29" s="125">
        <f>Z29*$D29</f>
        <v>189.75</v>
      </c>
      <c r="AB29" s="125">
        <f t="shared" si="43"/>
        <v>136.62</v>
      </c>
      <c r="AC29" s="124">
        <v>0.34</v>
      </c>
      <c r="AD29" s="125">
        <f>AC29*$D29</f>
        <v>65.166666666666671</v>
      </c>
      <c r="AE29" s="125">
        <f t="shared" si="44"/>
        <v>46.92</v>
      </c>
      <c r="AF29" s="124">
        <v>0.81</v>
      </c>
      <c r="AG29" s="125">
        <f>AF29*$D29</f>
        <v>155.25</v>
      </c>
      <c r="AH29" s="125">
        <f t="shared" si="45"/>
        <v>111.78</v>
      </c>
      <c r="AI29" s="124">
        <v>0.81</v>
      </c>
      <c r="AJ29" s="125">
        <f>AI29*$D29</f>
        <v>155.25</v>
      </c>
      <c r="AK29" s="125">
        <f t="shared" si="46"/>
        <v>111.78</v>
      </c>
      <c r="AL29" s="162"/>
      <c r="AN29" s="123"/>
      <c r="AO29" s="123"/>
      <c r="AP29" s="124">
        <v>0.72</v>
      </c>
      <c r="AQ29" s="125">
        <f>AP29*$D29</f>
        <v>138</v>
      </c>
      <c r="AR29" s="125">
        <f t="shared" si="47"/>
        <v>99.36</v>
      </c>
      <c r="AS29" s="124">
        <v>0.3</v>
      </c>
      <c r="AT29" s="125">
        <f>AS29*$D29</f>
        <v>57.499999999999993</v>
      </c>
      <c r="AU29" s="125">
        <f t="shared" si="48"/>
        <v>41.4</v>
      </c>
      <c r="AV29" s="124">
        <v>0.59</v>
      </c>
      <c r="AW29" s="125">
        <f>AV29*$D29</f>
        <v>113.08333333333333</v>
      </c>
      <c r="AX29" s="125">
        <f t="shared" si="49"/>
        <v>81.42</v>
      </c>
      <c r="AY29" s="124">
        <v>0.59</v>
      </c>
      <c r="AZ29" s="125">
        <f>AY29*$D29</f>
        <v>113.08333333333333</v>
      </c>
      <c r="BA29" s="125">
        <f t="shared" si="50"/>
        <v>81.42</v>
      </c>
      <c r="BC29" s="117" t="s">
        <v>229</v>
      </c>
      <c r="BD29" s="139">
        <f t="shared" si="64"/>
        <v>173.45833333333334</v>
      </c>
      <c r="BE29" s="139">
        <f t="shared" si="65"/>
        <v>124.89000000000001</v>
      </c>
      <c r="BF29" s="139">
        <f t="shared" si="66"/>
        <v>93.916666666666671</v>
      </c>
      <c r="BG29" s="139">
        <f t="shared" si="67"/>
        <v>67.62</v>
      </c>
      <c r="BH29" s="139">
        <f t="shared" si="68"/>
        <v>146.625</v>
      </c>
      <c r="BI29" s="139">
        <f t="shared" si="69"/>
        <v>105.57</v>
      </c>
      <c r="BJ29" s="139">
        <f t="shared" si="70"/>
        <v>146.625</v>
      </c>
      <c r="BK29" s="139">
        <f t="shared" si="71"/>
        <v>105.57</v>
      </c>
    </row>
    <row r="30" spans="1:63" ht="14.4">
      <c r="A30" s="126" t="s">
        <v>183</v>
      </c>
      <c r="B30" s="118">
        <v>31</v>
      </c>
      <c r="C30" s="118">
        <f t="shared" si="51"/>
        <v>744</v>
      </c>
      <c r="D30" s="122">
        <f t="shared" si="38"/>
        <v>231.18279569892474</v>
      </c>
      <c r="E30" s="118">
        <v>172</v>
      </c>
      <c r="H30" s="123"/>
      <c r="I30" s="117" t="s">
        <v>229</v>
      </c>
      <c r="J30" s="124">
        <v>1.01</v>
      </c>
      <c r="K30" s="125">
        <f t="shared" si="39"/>
        <v>233.49462365591398</v>
      </c>
      <c r="L30" s="125">
        <f t="shared" si="52"/>
        <v>173.72</v>
      </c>
      <c r="M30" s="124">
        <v>0.79</v>
      </c>
      <c r="N30" s="125">
        <f t="shared" si="40"/>
        <v>182.63440860215056</v>
      </c>
      <c r="O30" s="125">
        <f t="shared" si="53"/>
        <v>135.88</v>
      </c>
      <c r="P30" s="124">
        <v>0.94</v>
      </c>
      <c r="Q30" s="125">
        <f t="shared" si="41"/>
        <v>217.31182795698925</v>
      </c>
      <c r="R30" s="125">
        <f t="shared" si="54"/>
        <v>161.67999999999998</v>
      </c>
      <c r="S30" s="124">
        <v>0.94</v>
      </c>
      <c r="T30" s="125">
        <f t="shared" si="42"/>
        <v>217.31182795698925</v>
      </c>
      <c r="U30" s="125">
        <f t="shared" si="55"/>
        <v>161.67999999999998</v>
      </c>
      <c r="W30" s="117" t="s">
        <v>229</v>
      </c>
      <c r="X30" s="123"/>
      <c r="Y30" s="123"/>
      <c r="Z30" s="124">
        <v>0.84</v>
      </c>
      <c r="AA30" s="125">
        <f t="shared" ref="AA30:AA37" si="72">Z30*$D30</f>
        <v>194.19354838709677</v>
      </c>
      <c r="AB30" s="125">
        <f t="shared" si="43"/>
        <v>144.47999999999999</v>
      </c>
      <c r="AC30" s="124">
        <v>0.4</v>
      </c>
      <c r="AD30" s="125">
        <f t="shared" ref="AD30:AD37" si="73">AC30*$D30</f>
        <v>92.473118279569903</v>
      </c>
      <c r="AE30" s="125">
        <f t="shared" si="44"/>
        <v>68.8</v>
      </c>
      <c r="AF30" s="124">
        <v>0.79</v>
      </c>
      <c r="AG30" s="125">
        <f t="shared" ref="AG30:AG37" si="74">AF30*$D30</f>
        <v>182.63440860215056</v>
      </c>
      <c r="AH30" s="125">
        <f t="shared" si="45"/>
        <v>135.88</v>
      </c>
      <c r="AI30" s="124">
        <v>0.79</v>
      </c>
      <c r="AJ30" s="125">
        <f t="shared" ref="AJ30:AJ37" si="75">AI30*$D30</f>
        <v>182.63440860215056</v>
      </c>
      <c r="AK30" s="125">
        <f t="shared" si="46"/>
        <v>135.88</v>
      </c>
      <c r="AL30" s="162"/>
      <c r="AM30" s="117" t="s">
        <v>229</v>
      </c>
      <c r="AN30" s="123"/>
      <c r="AO30" s="123"/>
      <c r="AP30" s="124">
        <v>0.55000000000000004</v>
      </c>
      <c r="AQ30" s="125">
        <f t="shared" si="60"/>
        <v>127.15053763440862</v>
      </c>
      <c r="AR30" s="125">
        <f t="shared" si="47"/>
        <v>94.600000000000009</v>
      </c>
      <c r="AS30" s="124">
        <v>0.3</v>
      </c>
      <c r="AT30" s="125">
        <f t="shared" si="61"/>
        <v>69.354838709677423</v>
      </c>
      <c r="AU30" s="125">
        <f t="shared" si="48"/>
        <v>51.6</v>
      </c>
      <c r="AV30" s="124">
        <v>0.56000000000000005</v>
      </c>
      <c r="AW30" s="125">
        <f t="shared" si="62"/>
        <v>129.46236559139786</v>
      </c>
      <c r="AX30" s="125">
        <f t="shared" si="49"/>
        <v>96.320000000000007</v>
      </c>
      <c r="AY30" s="124">
        <v>0.56000000000000005</v>
      </c>
      <c r="AZ30" s="125">
        <f t="shared" si="63"/>
        <v>129.46236559139786</v>
      </c>
      <c r="BA30" s="125">
        <f t="shared" si="50"/>
        <v>96.320000000000007</v>
      </c>
      <c r="BC30" s="117" t="s">
        <v>243</v>
      </c>
      <c r="BD30" s="139">
        <f t="shared" si="64"/>
        <v>180.32258064516131</v>
      </c>
      <c r="BE30" s="139">
        <f t="shared" si="65"/>
        <v>134.16</v>
      </c>
      <c r="BF30" s="139">
        <f t="shared" si="66"/>
        <v>125.99462365591398</v>
      </c>
      <c r="BG30" s="139">
        <f t="shared" si="67"/>
        <v>93.74</v>
      </c>
      <c r="BH30" s="139">
        <f t="shared" si="68"/>
        <v>173.38709677419354</v>
      </c>
      <c r="BI30" s="139">
        <f t="shared" si="69"/>
        <v>129</v>
      </c>
      <c r="BJ30" s="139">
        <f t="shared" si="70"/>
        <v>173.38709677419354</v>
      </c>
      <c r="BK30" s="139">
        <f t="shared" si="71"/>
        <v>129</v>
      </c>
    </row>
    <row r="31" spans="1:63" ht="14.4">
      <c r="A31" s="126" t="s">
        <v>184</v>
      </c>
      <c r="B31" s="118">
        <v>30</v>
      </c>
      <c r="C31" s="118">
        <f t="shared" si="51"/>
        <v>720</v>
      </c>
      <c r="D31" s="122">
        <f t="shared" si="38"/>
        <v>250</v>
      </c>
      <c r="E31" s="118">
        <v>180</v>
      </c>
      <c r="H31" s="123"/>
      <c r="I31" s="117" t="s">
        <v>243</v>
      </c>
      <c r="J31" s="124">
        <v>0.97</v>
      </c>
      <c r="K31" s="125">
        <f t="shared" si="39"/>
        <v>242.5</v>
      </c>
      <c r="L31" s="125">
        <f t="shared" si="52"/>
        <v>174.6</v>
      </c>
      <c r="M31" s="124">
        <v>0.82</v>
      </c>
      <c r="N31" s="125">
        <f t="shared" si="40"/>
        <v>205</v>
      </c>
      <c r="O31" s="125">
        <f t="shared" si="53"/>
        <v>147.6</v>
      </c>
      <c r="P31" s="124">
        <v>0.93</v>
      </c>
      <c r="Q31" s="125">
        <f t="shared" si="41"/>
        <v>232.5</v>
      </c>
      <c r="R31" s="125">
        <f t="shared" si="54"/>
        <v>167.4</v>
      </c>
      <c r="S31" s="124">
        <v>0.93</v>
      </c>
      <c r="T31" s="125">
        <f t="shared" si="42"/>
        <v>232.5</v>
      </c>
      <c r="U31" s="125">
        <f t="shared" si="55"/>
        <v>167.4</v>
      </c>
      <c r="W31" s="117" t="s">
        <v>243</v>
      </c>
      <c r="X31" s="123"/>
      <c r="Y31" s="123"/>
      <c r="Z31" s="124">
        <v>0.78</v>
      </c>
      <c r="AA31" s="125">
        <f t="shared" si="72"/>
        <v>195</v>
      </c>
      <c r="AB31" s="125">
        <f t="shared" si="43"/>
        <v>140.4</v>
      </c>
      <c r="AC31" s="124">
        <v>0.45</v>
      </c>
      <c r="AD31" s="125">
        <f t="shared" si="73"/>
        <v>112.5</v>
      </c>
      <c r="AE31" s="125">
        <f t="shared" si="44"/>
        <v>81</v>
      </c>
      <c r="AF31" s="124">
        <v>0.78</v>
      </c>
      <c r="AG31" s="125">
        <f t="shared" si="74"/>
        <v>195</v>
      </c>
      <c r="AH31" s="125">
        <f t="shared" si="45"/>
        <v>140.4</v>
      </c>
      <c r="AI31" s="124">
        <v>0.78</v>
      </c>
      <c r="AJ31" s="125">
        <f t="shared" si="75"/>
        <v>195</v>
      </c>
      <c r="AK31" s="125">
        <f t="shared" si="46"/>
        <v>140.4</v>
      </c>
      <c r="AL31" s="162"/>
      <c r="AM31" s="117" t="s">
        <v>243</v>
      </c>
      <c r="AN31" s="123"/>
      <c r="AO31" s="123"/>
      <c r="AP31" s="124">
        <v>0.5</v>
      </c>
      <c r="AQ31" s="125">
        <f t="shared" si="60"/>
        <v>125</v>
      </c>
      <c r="AR31" s="125">
        <f t="shared" si="47"/>
        <v>90</v>
      </c>
      <c r="AS31" s="124">
        <v>0.32</v>
      </c>
      <c r="AT31" s="125">
        <f t="shared" si="61"/>
        <v>80</v>
      </c>
      <c r="AU31" s="125">
        <f t="shared" si="48"/>
        <v>57.6</v>
      </c>
      <c r="AV31" s="124">
        <v>0.55000000000000004</v>
      </c>
      <c r="AW31" s="125">
        <f t="shared" si="62"/>
        <v>137.5</v>
      </c>
      <c r="AX31" s="125">
        <f t="shared" si="49"/>
        <v>99.000000000000014</v>
      </c>
      <c r="AY31" s="124">
        <v>0.55000000000000004</v>
      </c>
      <c r="AZ31" s="125">
        <f t="shared" si="63"/>
        <v>137.5</v>
      </c>
      <c r="BA31" s="125">
        <f t="shared" si="50"/>
        <v>99.000000000000014</v>
      </c>
      <c r="BD31" s="139">
        <f t="shared" si="64"/>
        <v>183.75</v>
      </c>
      <c r="BE31" s="139">
        <f t="shared" si="65"/>
        <v>132.30000000000001</v>
      </c>
      <c r="BF31" s="139">
        <f t="shared" si="66"/>
        <v>142.5</v>
      </c>
      <c r="BG31" s="139">
        <f t="shared" si="67"/>
        <v>102.6</v>
      </c>
      <c r="BH31" s="139">
        <f t="shared" si="68"/>
        <v>185</v>
      </c>
      <c r="BI31" s="139">
        <f t="shared" si="69"/>
        <v>133.20000000000002</v>
      </c>
      <c r="BJ31" s="139">
        <f t="shared" si="70"/>
        <v>185</v>
      </c>
      <c r="BK31" s="139">
        <f>(U31+BA31)/2</f>
        <v>133.20000000000002</v>
      </c>
    </row>
    <row r="32" spans="1:63" ht="14.4">
      <c r="A32" s="126" t="s">
        <v>185</v>
      </c>
      <c r="B32" s="118">
        <v>31</v>
      </c>
      <c r="C32" s="118">
        <f t="shared" si="51"/>
        <v>744</v>
      </c>
      <c r="D32" s="122">
        <f t="shared" si="38"/>
        <v>240.59139784946237</v>
      </c>
      <c r="E32" s="118">
        <v>179</v>
      </c>
      <c r="H32" s="123"/>
      <c r="J32" s="124">
        <v>0.98</v>
      </c>
      <c r="K32" s="125">
        <f t="shared" si="39"/>
        <v>235.77956989247312</v>
      </c>
      <c r="L32" s="125">
        <f t="shared" si="52"/>
        <v>175.42</v>
      </c>
      <c r="M32" s="124">
        <v>0.81</v>
      </c>
      <c r="N32" s="125">
        <f t="shared" si="40"/>
        <v>194.87903225806454</v>
      </c>
      <c r="O32" s="125">
        <f t="shared" si="53"/>
        <v>144.99</v>
      </c>
      <c r="P32" s="124">
        <v>0.93</v>
      </c>
      <c r="Q32" s="125">
        <f t="shared" si="41"/>
        <v>223.75</v>
      </c>
      <c r="R32" s="125">
        <f t="shared" si="54"/>
        <v>166.47</v>
      </c>
      <c r="S32" s="124">
        <v>0.93</v>
      </c>
      <c r="T32" s="125">
        <f t="shared" si="42"/>
        <v>223.75</v>
      </c>
      <c r="U32" s="125">
        <f t="shared" si="55"/>
        <v>166.47</v>
      </c>
      <c r="X32" s="123"/>
      <c r="Y32" s="123"/>
      <c r="Z32" s="124">
        <v>0.81</v>
      </c>
      <c r="AA32" s="125">
        <f t="shared" si="72"/>
        <v>194.87903225806454</v>
      </c>
      <c r="AB32" s="125">
        <f t="shared" si="43"/>
        <v>144.99</v>
      </c>
      <c r="AC32" s="124">
        <v>0.42</v>
      </c>
      <c r="AD32" s="125">
        <f t="shared" si="73"/>
        <v>101.04838709677419</v>
      </c>
      <c r="AE32" s="125">
        <f t="shared" si="44"/>
        <v>75.179999999999993</v>
      </c>
      <c r="AF32" s="124">
        <v>0.78</v>
      </c>
      <c r="AG32" s="125">
        <f t="shared" si="74"/>
        <v>187.66129032258064</v>
      </c>
      <c r="AH32" s="125">
        <f t="shared" si="45"/>
        <v>139.62</v>
      </c>
      <c r="AI32" s="124">
        <v>0.78</v>
      </c>
      <c r="AJ32" s="125">
        <f t="shared" si="75"/>
        <v>187.66129032258064</v>
      </c>
      <c r="AK32" s="125">
        <f t="shared" si="46"/>
        <v>139.62</v>
      </c>
      <c r="AL32" s="162"/>
      <c r="AN32" s="123"/>
      <c r="AO32" s="123"/>
      <c r="AP32" s="124">
        <v>0.52</v>
      </c>
      <c r="AQ32" s="125">
        <f t="shared" si="60"/>
        <v>125.10752688172043</v>
      </c>
      <c r="AR32" s="125">
        <f t="shared" si="47"/>
        <v>93.08</v>
      </c>
      <c r="AS32" s="124">
        <v>0.31</v>
      </c>
      <c r="AT32" s="125">
        <f t="shared" si="61"/>
        <v>74.583333333333329</v>
      </c>
      <c r="AU32" s="125">
        <f t="shared" si="48"/>
        <v>55.49</v>
      </c>
      <c r="AV32" s="124">
        <v>0.55000000000000004</v>
      </c>
      <c r="AW32" s="125">
        <f t="shared" si="62"/>
        <v>132.32526881720432</v>
      </c>
      <c r="AX32" s="125">
        <f t="shared" si="49"/>
        <v>98.45</v>
      </c>
      <c r="AY32" s="124">
        <v>0.55000000000000004</v>
      </c>
      <c r="AZ32" s="125">
        <f t="shared" si="63"/>
        <v>132.32526881720432</v>
      </c>
      <c r="BA32" s="125">
        <f t="shared" si="50"/>
        <v>98.45</v>
      </c>
      <c r="BD32" s="139">
        <f t="shared" si="64"/>
        <v>180.44354838709677</v>
      </c>
      <c r="BE32" s="139">
        <f t="shared" si="65"/>
        <v>134.25</v>
      </c>
      <c r="BF32" s="139">
        <f t="shared" si="66"/>
        <v>134.73118279569894</v>
      </c>
      <c r="BG32" s="139">
        <f t="shared" si="67"/>
        <v>100.24000000000001</v>
      </c>
      <c r="BH32" s="139">
        <f t="shared" si="68"/>
        <v>178.03763440860217</v>
      </c>
      <c r="BI32" s="139">
        <f t="shared" si="69"/>
        <v>132.46</v>
      </c>
      <c r="BJ32" s="139">
        <f t="shared" si="70"/>
        <v>178.03763440860217</v>
      </c>
      <c r="BK32" s="139">
        <f t="shared" ref="BK32:BK33" si="76">(U32+BA32)/2</f>
        <v>132.46</v>
      </c>
    </row>
    <row r="33" spans="1:63" ht="14.4">
      <c r="A33" s="126" t="s">
        <v>186</v>
      </c>
      <c r="B33" s="118">
        <v>31</v>
      </c>
      <c r="C33" s="118">
        <f t="shared" si="51"/>
        <v>744</v>
      </c>
      <c r="D33" s="122">
        <f t="shared" si="38"/>
        <v>208.33333333333334</v>
      </c>
      <c r="E33" s="118">
        <v>155</v>
      </c>
      <c r="H33" s="123"/>
      <c r="J33" s="124">
        <v>1.04</v>
      </c>
      <c r="K33" s="125">
        <f t="shared" si="39"/>
        <v>216.66666666666669</v>
      </c>
      <c r="L33" s="125">
        <f t="shared" si="52"/>
        <v>161.20000000000002</v>
      </c>
      <c r="M33" s="124">
        <v>0.73</v>
      </c>
      <c r="N33" s="125">
        <f t="shared" si="40"/>
        <v>152.08333333333334</v>
      </c>
      <c r="O33" s="125">
        <f t="shared" si="53"/>
        <v>113.14999999999999</v>
      </c>
      <c r="P33" s="124">
        <v>0.94</v>
      </c>
      <c r="Q33" s="125">
        <f t="shared" si="41"/>
        <v>195.83333333333334</v>
      </c>
      <c r="R33" s="125">
        <f t="shared" si="54"/>
        <v>145.69999999999999</v>
      </c>
      <c r="S33" s="124">
        <v>0.94</v>
      </c>
      <c r="T33" s="125">
        <f t="shared" si="42"/>
        <v>195.83333333333334</v>
      </c>
      <c r="U33" s="125">
        <f t="shared" si="55"/>
        <v>145.69999999999999</v>
      </c>
      <c r="X33" s="123"/>
      <c r="Y33" s="123"/>
      <c r="Z33" s="124">
        <v>0.91</v>
      </c>
      <c r="AA33" s="125">
        <f t="shared" si="72"/>
        <v>189.58333333333334</v>
      </c>
      <c r="AB33" s="125">
        <f t="shared" si="43"/>
        <v>141.05000000000001</v>
      </c>
      <c r="AC33" s="124">
        <v>0.35</v>
      </c>
      <c r="AD33" s="125">
        <f t="shared" si="73"/>
        <v>72.916666666666671</v>
      </c>
      <c r="AE33" s="125">
        <f t="shared" si="44"/>
        <v>54.25</v>
      </c>
      <c r="AF33" s="124">
        <v>0.79</v>
      </c>
      <c r="AG33" s="125">
        <f t="shared" si="74"/>
        <v>164.58333333333334</v>
      </c>
      <c r="AH33" s="125">
        <f t="shared" si="45"/>
        <v>122.45</v>
      </c>
      <c r="AI33" s="124">
        <v>0.79</v>
      </c>
      <c r="AJ33" s="125">
        <f t="shared" si="75"/>
        <v>164.58333333333334</v>
      </c>
      <c r="AK33" s="125">
        <f t="shared" si="46"/>
        <v>122.45</v>
      </c>
      <c r="AL33" s="162"/>
      <c r="AN33" s="123"/>
      <c r="AO33" s="123"/>
      <c r="AP33" s="124">
        <v>0.62</v>
      </c>
      <c r="AQ33" s="125">
        <f t="shared" si="60"/>
        <v>129.16666666666669</v>
      </c>
      <c r="AR33" s="125">
        <f t="shared" si="47"/>
        <v>96.1</v>
      </c>
      <c r="AS33" s="124">
        <v>0.3</v>
      </c>
      <c r="AT33" s="125">
        <f t="shared" si="61"/>
        <v>62.5</v>
      </c>
      <c r="AU33" s="125">
        <f t="shared" si="48"/>
        <v>46.5</v>
      </c>
      <c r="AV33" s="124">
        <v>0.56999999999999995</v>
      </c>
      <c r="AW33" s="125">
        <f t="shared" si="62"/>
        <v>118.75</v>
      </c>
      <c r="AX33" s="125">
        <f t="shared" si="49"/>
        <v>88.35</v>
      </c>
      <c r="AY33" s="124">
        <v>0.56999999999999995</v>
      </c>
      <c r="AZ33" s="125">
        <f t="shared" si="63"/>
        <v>118.75</v>
      </c>
      <c r="BA33" s="125">
        <f t="shared" si="50"/>
        <v>88.35</v>
      </c>
      <c r="BD33" s="139">
        <f t="shared" si="64"/>
        <v>172.91666666666669</v>
      </c>
      <c r="BE33" s="139">
        <f>(L33+AR33)/2</f>
        <v>128.65</v>
      </c>
      <c r="BF33" s="139">
        <f t="shared" si="66"/>
        <v>107.29166666666667</v>
      </c>
      <c r="BG33" s="139">
        <f>(O33+AU33)/2</f>
        <v>79.824999999999989</v>
      </c>
      <c r="BH33" s="139">
        <f t="shared" si="68"/>
        <v>157.29166666666669</v>
      </c>
      <c r="BI33" s="139">
        <f t="shared" si="69"/>
        <v>117.02499999999999</v>
      </c>
      <c r="BJ33" s="139">
        <f t="shared" si="70"/>
        <v>157.29166666666669</v>
      </c>
      <c r="BK33" s="139">
        <f t="shared" si="76"/>
        <v>117.02499999999999</v>
      </c>
    </row>
    <row r="34" spans="1:63" ht="14.4">
      <c r="A34" s="126" t="s">
        <v>187</v>
      </c>
      <c r="B34" s="118">
        <v>30</v>
      </c>
      <c r="C34" s="118">
        <f t="shared" si="51"/>
        <v>720</v>
      </c>
      <c r="D34" s="122">
        <f t="shared" si="38"/>
        <v>166.66666666666666</v>
      </c>
      <c r="E34" s="118">
        <v>120</v>
      </c>
      <c r="H34" s="123"/>
      <c r="J34" s="124">
        <v>1.17</v>
      </c>
      <c r="K34" s="125">
        <f t="shared" si="39"/>
        <v>194.99999999999997</v>
      </c>
      <c r="L34" s="125">
        <f t="shared" si="52"/>
        <v>140.39999999999998</v>
      </c>
      <c r="M34" s="124">
        <v>0.59</v>
      </c>
      <c r="N34" s="125">
        <f t="shared" si="40"/>
        <v>98.333333333333329</v>
      </c>
      <c r="O34" s="125">
        <f t="shared" si="53"/>
        <v>70.8</v>
      </c>
      <c r="P34" s="124">
        <v>0.95</v>
      </c>
      <c r="Q34" s="125">
        <f t="shared" si="41"/>
        <v>158.33333333333331</v>
      </c>
      <c r="R34" s="125">
        <f t="shared" si="54"/>
        <v>114</v>
      </c>
      <c r="S34" s="124">
        <v>0.95</v>
      </c>
      <c r="T34" s="125">
        <f t="shared" si="42"/>
        <v>158.33333333333331</v>
      </c>
      <c r="U34" s="125">
        <f t="shared" si="55"/>
        <v>114</v>
      </c>
      <c r="X34" s="123"/>
      <c r="Y34" s="123"/>
      <c r="Z34" s="124">
        <v>1.1100000000000001</v>
      </c>
      <c r="AA34" s="125">
        <f t="shared" si="72"/>
        <v>185</v>
      </c>
      <c r="AB34" s="125">
        <f t="shared" si="43"/>
        <v>133.20000000000002</v>
      </c>
      <c r="AC34" s="124">
        <v>0.31</v>
      </c>
      <c r="AD34" s="125">
        <f t="shared" si="73"/>
        <v>51.666666666666664</v>
      </c>
      <c r="AE34" s="125">
        <f t="shared" si="44"/>
        <v>37.200000000000003</v>
      </c>
      <c r="AF34" s="124">
        <v>0.81</v>
      </c>
      <c r="AG34" s="125">
        <f t="shared" si="74"/>
        <v>135</v>
      </c>
      <c r="AH34" s="125">
        <f t="shared" si="45"/>
        <v>97.2</v>
      </c>
      <c r="AI34" s="124">
        <v>0.81</v>
      </c>
      <c r="AJ34" s="125">
        <f t="shared" si="75"/>
        <v>135</v>
      </c>
      <c r="AK34" s="125">
        <f t="shared" si="46"/>
        <v>97.2</v>
      </c>
      <c r="AL34" s="162"/>
      <c r="AN34" s="123"/>
      <c r="AO34" s="123"/>
      <c r="AP34" s="124">
        <v>0.85</v>
      </c>
      <c r="AQ34" s="125">
        <f t="shared" si="60"/>
        <v>141.66666666666666</v>
      </c>
      <c r="AR34" s="125">
        <f t="shared" si="47"/>
        <v>102</v>
      </c>
      <c r="AS34" s="124">
        <v>0.28000000000000003</v>
      </c>
      <c r="AT34" s="125">
        <f t="shared" si="61"/>
        <v>46.666666666666671</v>
      </c>
      <c r="AU34" s="125">
        <f t="shared" si="48"/>
        <v>33.6</v>
      </c>
      <c r="AV34" s="124">
        <v>0.6</v>
      </c>
      <c r="AW34" s="125">
        <f t="shared" si="62"/>
        <v>99.999999999999986</v>
      </c>
      <c r="AX34" s="125">
        <f t="shared" si="49"/>
        <v>72</v>
      </c>
      <c r="AY34" s="124">
        <v>0.6</v>
      </c>
      <c r="AZ34" s="125">
        <f t="shared" si="63"/>
        <v>99.999999999999986</v>
      </c>
      <c r="BA34" s="125">
        <f t="shared" si="50"/>
        <v>72</v>
      </c>
      <c r="BD34" s="139">
        <f t="shared" si="64"/>
        <v>168.33333333333331</v>
      </c>
      <c r="BE34" s="139">
        <f t="shared" ref="BE34:BE37" si="77">(L34+AR34)/2</f>
        <v>121.19999999999999</v>
      </c>
      <c r="BF34" s="139">
        <f t="shared" si="66"/>
        <v>72.5</v>
      </c>
      <c r="BG34" s="139">
        <f t="shared" ref="BG34:BG37" si="78">(O34+AU34)/2</f>
        <v>52.2</v>
      </c>
      <c r="BH34" s="139">
        <f t="shared" si="68"/>
        <v>129.16666666666666</v>
      </c>
      <c r="BI34" s="139">
        <f t="shared" si="69"/>
        <v>93</v>
      </c>
      <c r="BJ34" s="139">
        <f t="shared" si="70"/>
        <v>129.16666666666666</v>
      </c>
      <c r="BK34" s="139">
        <f>(U34+BA34)/2</f>
        <v>93</v>
      </c>
    </row>
    <row r="35" spans="1:63" ht="14.4">
      <c r="A35" s="126" t="s">
        <v>59</v>
      </c>
      <c r="B35" s="118">
        <v>31</v>
      </c>
      <c r="C35" s="118">
        <f t="shared" si="51"/>
        <v>744</v>
      </c>
      <c r="D35" s="122">
        <f t="shared" si="38"/>
        <v>98.118279569892479</v>
      </c>
      <c r="E35" s="118">
        <v>73</v>
      </c>
      <c r="H35" s="123"/>
      <c r="J35" s="124">
        <v>1.33</v>
      </c>
      <c r="K35" s="125">
        <f t="shared" si="39"/>
        <v>130.49731182795699</v>
      </c>
      <c r="L35" s="125">
        <f t="shared" si="52"/>
        <v>97.09</v>
      </c>
      <c r="M35" s="124">
        <v>0.45</v>
      </c>
      <c r="N35" s="125">
        <f t="shared" si="40"/>
        <v>44.153225806451616</v>
      </c>
      <c r="O35" s="125">
        <f t="shared" si="53"/>
        <v>32.85</v>
      </c>
      <c r="P35" s="124">
        <v>0.96</v>
      </c>
      <c r="Q35" s="125">
        <f t="shared" si="41"/>
        <v>94.193548387096783</v>
      </c>
      <c r="R35" s="125">
        <f t="shared" si="54"/>
        <v>70.08</v>
      </c>
      <c r="S35" s="124">
        <v>0.96</v>
      </c>
      <c r="T35" s="125">
        <f t="shared" si="42"/>
        <v>94.193548387096783</v>
      </c>
      <c r="U35" s="125">
        <f t="shared" si="55"/>
        <v>70.08</v>
      </c>
      <c r="X35" s="123"/>
      <c r="Y35" s="123"/>
      <c r="Z35" s="124">
        <v>1.4</v>
      </c>
      <c r="AA35" s="125">
        <f t="shared" si="72"/>
        <v>137.36559139784947</v>
      </c>
      <c r="AB35" s="125">
        <f t="shared" si="43"/>
        <v>102.19999999999999</v>
      </c>
      <c r="AC35" s="124">
        <v>0.34</v>
      </c>
      <c r="AD35" s="125">
        <f t="shared" si="73"/>
        <v>33.360215053763447</v>
      </c>
      <c r="AE35" s="125">
        <f t="shared" si="44"/>
        <v>24.82</v>
      </c>
      <c r="AF35" s="124">
        <v>0.84</v>
      </c>
      <c r="AG35" s="125">
        <f t="shared" si="74"/>
        <v>82.41935483870968</v>
      </c>
      <c r="AH35" s="125">
        <f t="shared" si="45"/>
        <v>61.32</v>
      </c>
      <c r="AI35" s="124">
        <v>0.84</v>
      </c>
      <c r="AJ35" s="125">
        <f t="shared" si="75"/>
        <v>82.41935483870968</v>
      </c>
      <c r="AK35" s="125">
        <f t="shared" si="46"/>
        <v>61.32</v>
      </c>
      <c r="AL35" s="162"/>
      <c r="AN35" s="123"/>
      <c r="AO35" s="123"/>
      <c r="AP35" s="124">
        <v>1.19</v>
      </c>
      <c r="AQ35" s="125">
        <f t="shared" si="60"/>
        <v>116.76075268817205</v>
      </c>
      <c r="AR35" s="125">
        <f t="shared" si="47"/>
        <v>86.86999999999999</v>
      </c>
      <c r="AS35" s="124">
        <v>0.3</v>
      </c>
      <c r="AT35" s="125">
        <f t="shared" si="61"/>
        <v>29.435483870967744</v>
      </c>
      <c r="AU35" s="125">
        <f t="shared" si="48"/>
        <v>21.9</v>
      </c>
      <c r="AV35" s="124">
        <v>0.63</v>
      </c>
      <c r="AW35" s="125">
        <f t="shared" si="62"/>
        <v>61.814516129032263</v>
      </c>
      <c r="AX35" s="125">
        <f t="shared" si="49"/>
        <v>45.99</v>
      </c>
      <c r="AY35" s="124">
        <v>0.63</v>
      </c>
      <c r="AZ35" s="125">
        <f t="shared" si="63"/>
        <v>61.814516129032263</v>
      </c>
      <c r="BA35" s="125">
        <f t="shared" si="50"/>
        <v>45.99</v>
      </c>
      <c r="BD35" s="139">
        <f t="shared" si="64"/>
        <v>123.62903225806451</v>
      </c>
      <c r="BE35" s="139">
        <f t="shared" si="77"/>
        <v>91.97999999999999</v>
      </c>
      <c r="BF35" s="139">
        <f t="shared" si="66"/>
        <v>36.79435483870968</v>
      </c>
      <c r="BG35" s="139">
        <f t="shared" si="78"/>
        <v>27.375</v>
      </c>
      <c r="BH35" s="139">
        <f t="shared" si="68"/>
        <v>78.004032258064527</v>
      </c>
      <c r="BI35" s="139">
        <f t="shared" si="69"/>
        <v>58.034999999999997</v>
      </c>
      <c r="BJ35" s="139">
        <f t="shared" si="70"/>
        <v>78.004032258064527</v>
      </c>
      <c r="BK35" s="139">
        <f t="shared" ref="BK35:BK37" si="79">(U35+BA35)/2</f>
        <v>58.034999999999997</v>
      </c>
    </row>
    <row r="36" spans="1:63" ht="14.4">
      <c r="A36" s="126" t="s">
        <v>60</v>
      </c>
      <c r="B36" s="118">
        <v>30</v>
      </c>
      <c r="C36" s="118">
        <f t="shared" si="51"/>
        <v>720</v>
      </c>
      <c r="D36" s="122">
        <f t="shared" si="38"/>
        <v>47.222222222222221</v>
      </c>
      <c r="E36" s="118">
        <v>34</v>
      </c>
      <c r="H36" s="123"/>
      <c r="J36" s="124">
        <v>1.52</v>
      </c>
      <c r="K36" s="125">
        <f t="shared" si="39"/>
        <v>71.777777777777771</v>
      </c>
      <c r="L36" s="125">
        <f t="shared" si="52"/>
        <v>51.68</v>
      </c>
      <c r="M36" s="124">
        <v>0.47</v>
      </c>
      <c r="N36" s="125">
        <f t="shared" si="40"/>
        <v>22.194444444444443</v>
      </c>
      <c r="O36" s="125">
        <f t="shared" si="53"/>
        <v>15.979999999999999</v>
      </c>
      <c r="P36" s="124">
        <v>0.97</v>
      </c>
      <c r="Q36" s="125">
        <f t="shared" si="41"/>
        <v>45.80555555555555</v>
      </c>
      <c r="R36" s="125">
        <f t="shared" si="54"/>
        <v>32.979999999999997</v>
      </c>
      <c r="S36" s="124">
        <v>0.97</v>
      </c>
      <c r="T36" s="125">
        <f t="shared" si="42"/>
        <v>45.80555555555555</v>
      </c>
      <c r="U36" s="125">
        <f t="shared" si="55"/>
        <v>32.979999999999997</v>
      </c>
      <c r="X36" s="123"/>
      <c r="Y36" s="123"/>
      <c r="Z36" s="124">
        <v>1.75</v>
      </c>
      <c r="AA36" s="125">
        <f t="shared" si="72"/>
        <v>82.638888888888886</v>
      </c>
      <c r="AB36" s="125">
        <f t="shared" si="43"/>
        <v>59.5</v>
      </c>
      <c r="AC36" s="124">
        <v>0.4</v>
      </c>
      <c r="AD36" s="125">
        <f t="shared" si="73"/>
        <v>18.888888888888889</v>
      </c>
      <c r="AE36" s="125">
        <f t="shared" si="44"/>
        <v>13.600000000000001</v>
      </c>
      <c r="AF36" s="124">
        <v>0.86</v>
      </c>
      <c r="AG36" s="125">
        <f t="shared" si="74"/>
        <v>40.611111111111107</v>
      </c>
      <c r="AH36" s="125">
        <f t="shared" si="45"/>
        <v>29.24</v>
      </c>
      <c r="AI36" s="124">
        <v>0.86</v>
      </c>
      <c r="AJ36" s="125">
        <f t="shared" si="75"/>
        <v>40.611111111111107</v>
      </c>
      <c r="AK36" s="125">
        <f t="shared" si="46"/>
        <v>29.24</v>
      </c>
      <c r="AL36" s="162"/>
      <c r="AN36" s="123"/>
      <c r="AO36" s="123"/>
      <c r="AP36" s="124">
        <v>1.62</v>
      </c>
      <c r="AQ36" s="125">
        <f t="shared" si="60"/>
        <v>76.5</v>
      </c>
      <c r="AR36" s="125">
        <f t="shared" si="47"/>
        <v>55.080000000000005</v>
      </c>
      <c r="AS36" s="124">
        <v>0.37</v>
      </c>
      <c r="AT36" s="125">
        <f t="shared" si="61"/>
        <v>17.472222222222221</v>
      </c>
      <c r="AU36" s="125">
        <f t="shared" si="48"/>
        <v>12.58</v>
      </c>
      <c r="AV36" s="124">
        <v>0.65</v>
      </c>
      <c r="AW36" s="125">
        <f t="shared" si="62"/>
        <v>30.694444444444446</v>
      </c>
      <c r="AX36" s="125">
        <f t="shared" si="49"/>
        <v>22.1</v>
      </c>
      <c r="AY36" s="124">
        <v>0.65</v>
      </c>
      <c r="AZ36" s="125">
        <f t="shared" si="63"/>
        <v>30.694444444444446</v>
      </c>
      <c r="BA36" s="125">
        <f t="shared" si="50"/>
        <v>22.1</v>
      </c>
      <c r="BD36" s="139">
        <f t="shared" si="64"/>
        <v>74.138888888888886</v>
      </c>
      <c r="BE36" s="139">
        <f t="shared" si="77"/>
        <v>53.38</v>
      </c>
      <c r="BF36" s="139">
        <f t="shared" si="66"/>
        <v>19.833333333333332</v>
      </c>
      <c r="BG36" s="139">
        <f t="shared" si="78"/>
        <v>14.28</v>
      </c>
      <c r="BH36" s="139">
        <f t="shared" si="68"/>
        <v>38.25</v>
      </c>
      <c r="BI36" s="139">
        <f t="shared" si="69"/>
        <v>27.54</v>
      </c>
      <c r="BJ36" s="139">
        <f t="shared" si="70"/>
        <v>38.25</v>
      </c>
      <c r="BK36" s="139">
        <f t="shared" si="79"/>
        <v>27.54</v>
      </c>
    </row>
    <row r="37" spans="1:63" ht="15" thickBot="1">
      <c r="A37" s="127" t="s">
        <v>61</v>
      </c>
      <c r="B37" s="118">
        <v>31</v>
      </c>
      <c r="C37" s="118">
        <f t="shared" si="51"/>
        <v>744</v>
      </c>
      <c r="D37" s="122">
        <f t="shared" si="38"/>
        <v>40.322580645161288</v>
      </c>
      <c r="E37" s="118">
        <v>30</v>
      </c>
      <c r="H37" s="123"/>
      <c r="J37" s="124">
        <v>1.76</v>
      </c>
      <c r="K37" s="125">
        <f t="shared" si="39"/>
        <v>70.967741935483872</v>
      </c>
      <c r="L37" s="125">
        <f t="shared" si="52"/>
        <v>52.8</v>
      </c>
      <c r="M37" s="124">
        <v>0.48</v>
      </c>
      <c r="N37" s="125">
        <f t="shared" si="40"/>
        <v>19.354838709677416</v>
      </c>
      <c r="O37" s="125">
        <f t="shared" si="53"/>
        <v>14.399999999999999</v>
      </c>
      <c r="P37" s="124">
        <v>0.99</v>
      </c>
      <c r="Q37" s="125">
        <f t="shared" si="41"/>
        <v>39.919354838709673</v>
      </c>
      <c r="R37" s="125">
        <f t="shared" si="54"/>
        <v>29.7</v>
      </c>
      <c r="S37" s="124">
        <v>0.99</v>
      </c>
      <c r="T37" s="125">
        <f t="shared" si="42"/>
        <v>39.919354838709673</v>
      </c>
      <c r="U37" s="125">
        <f t="shared" si="55"/>
        <v>29.7</v>
      </c>
      <c r="X37" s="123"/>
      <c r="Y37" s="123"/>
      <c r="Z37" s="124">
        <v>2.15</v>
      </c>
      <c r="AA37" s="125">
        <f t="shared" si="72"/>
        <v>86.693548387096769</v>
      </c>
      <c r="AB37" s="125">
        <f t="shared" si="43"/>
        <v>64.5</v>
      </c>
      <c r="AC37" s="124">
        <v>0.46</v>
      </c>
      <c r="AD37" s="125">
        <f t="shared" si="73"/>
        <v>18.548387096774192</v>
      </c>
      <c r="AE37" s="125">
        <f t="shared" si="44"/>
        <v>13.8</v>
      </c>
      <c r="AF37" s="124">
        <v>0.9</v>
      </c>
      <c r="AG37" s="125">
        <f t="shared" si="74"/>
        <v>36.29032258064516</v>
      </c>
      <c r="AH37" s="125">
        <f t="shared" si="45"/>
        <v>27</v>
      </c>
      <c r="AI37" s="124">
        <v>0.9</v>
      </c>
      <c r="AJ37" s="125">
        <f t="shared" si="75"/>
        <v>36.29032258064516</v>
      </c>
      <c r="AK37" s="125">
        <f t="shared" si="46"/>
        <v>27</v>
      </c>
      <c r="AL37" s="162"/>
      <c r="AN37" s="123"/>
      <c r="AO37" s="123"/>
      <c r="AP37" s="124">
        <v>2.19</v>
      </c>
      <c r="AQ37" s="125">
        <f t="shared" si="60"/>
        <v>88.306451612903217</v>
      </c>
      <c r="AR37" s="125">
        <f t="shared" si="47"/>
        <v>65.7</v>
      </c>
      <c r="AS37" s="124">
        <v>0.46</v>
      </c>
      <c r="AT37" s="125">
        <f t="shared" si="61"/>
        <v>18.548387096774192</v>
      </c>
      <c r="AU37" s="125">
        <f t="shared" si="48"/>
        <v>13.8</v>
      </c>
      <c r="AV37" s="124">
        <v>0.77</v>
      </c>
      <c r="AW37" s="125">
        <f t="shared" si="62"/>
        <v>31.048387096774192</v>
      </c>
      <c r="AX37" s="125">
        <f t="shared" si="49"/>
        <v>23.1</v>
      </c>
      <c r="AY37" s="124">
        <v>0.77</v>
      </c>
      <c r="AZ37" s="125">
        <f t="shared" si="63"/>
        <v>31.048387096774192</v>
      </c>
      <c r="BA37" s="125">
        <f t="shared" si="50"/>
        <v>23.1</v>
      </c>
      <c r="BD37" s="139">
        <f t="shared" si="64"/>
        <v>79.637096774193537</v>
      </c>
      <c r="BE37" s="139">
        <f t="shared" si="77"/>
        <v>59.25</v>
      </c>
      <c r="BF37" s="139">
        <f t="shared" si="66"/>
        <v>18.951612903225804</v>
      </c>
      <c r="BG37" s="139">
        <f t="shared" si="78"/>
        <v>14.1</v>
      </c>
      <c r="BH37" s="139">
        <f t="shared" si="68"/>
        <v>35.483870967741936</v>
      </c>
      <c r="BI37" s="139">
        <f t="shared" si="69"/>
        <v>26.4</v>
      </c>
      <c r="BJ37" s="139">
        <f t="shared" si="70"/>
        <v>35.483870967741936</v>
      </c>
      <c r="BK37" s="139">
        <f t="shared" si="79"/>
        <v>26.4</v>
      </c>
    </row>
    <row r="39" spans="1:63">
      <c r="A39" s="128" t="s">
        <v>201</v>
      </c>
      <c r="B39" s="120" t="s">
        <v>172</v>
      </c>
      <c r="C39" s="120" t="s">
        <v>173</v>
      </c>
      <c r="E39" s="120" t="s">
        <v>174</v>
      </c>
      <c r="F39" s="120"/>
      <c r="G39" s="120"/>
      <c r="J39" s="305" t="s">
        <v>177</v>
      </c>
      <c r="K39" s="306"/>
      <c r="L39" s="307"/>
      <c r="M39" s="305" t="s">
        <v>178</v>
      </c>
      <c r="N39" s="306"/>
      <c r="O39" s="307"/>
      <c r="P39" s="305" t="s">
        <v>179</v>
      </c>
      <c r="Q39" s="306"/>
      <c r="R39" s="306"/>
      <c r="S39" s="308" t="s">
        <v>180</v>
      </c>
      <c r="T39" s="308"/>
      <c r="U39" s="308"/>
      <c r="Z39" s="305" t="s">
        <v>177</v>
      </c>
      <c r="AA39" s="306"/>
      <c r="AB39" s="307"/>
      <c r="AC39" s="305" t="s">
        <v>178</v>
      </c>
      <c r="AD39" s="306"/>
      <c r="AE39" s="307"/>
      <c r="AF39" s="305" t="s">
        <v>179</v>
      </c>
      <c r="AG39" s="306"/>
      <c r="AH39" s="306"/>
      <c r="AI39" s="308" t="s">
        <v>180</v>
      </c>
      <c r="AJ39" s="308"/>
      <c r="AK39" s="308"/>
      <c r="AL39" s="128"/>
      <c r="AP39" s="305" t="s">
        <v>177</v>
      </c>
      <c r="AQ39" s="306"/>
      <c r="AR39" s="307"/>
      <c r="AS39" s="305" t="s">
        <v>178</v>
      </c>
      <c r="AT39" s="306"/>
      <c r="AU39" s="307"/>
      <c r="AV39" s="305" t="s">
        <v>179</v>
      </c>
      <c r="AW39" s="306"/>
      <c r="AX39" s="306"/>
      <c r="AY39" s="308" t="s">
        <v>180</v>
      </c>
      <c r="AZ39" s="308"/>
      <c r="BA39" s="308"/>
      <c r="BD39" s="310" t="s">
        <v>177</v>
      </c>
      <c r="BE39" s="311"/>
      <c r="BF39" s="310" t="s">
        <v>178</v>
      </c>
      <c r="BG39" s="311"/>
      <c r="BH39" s="310" t="s">
        <v>181</v>
      </c>
      <c r="BI39" s="311"/>
      <c r="BJ39" s="308" t="s">
        <v>180</v>
      </c>
      <c r="BK39" s="308"/>
    </row>
    <row r="40" spans="1:63" ht="13.8" thickBot="1">
      <c r="D40" s="118" t="s">
        <v>176</v>
      </c>
      <c r="E40" s="118" t="s">
        <v>175</v>
      </c>
      <c r="J40" s="117" t="s">
        <v>205</v>
      </c>
      <c r="K40" s="117" t="s">
        <v>176</v>
      </c>
      <c r="L40" s="117" t="s">
        <v>175</v>
      </c>
      <c r="M40" s="117" t="s">
        <v>205</v>
      </c>
      <c r="N40" s="117" t="s">
        <v>176</v>
      </c>
      <c r="O40" s="117" t="s">
        <v>175</v>
      </c>
      <c r="P40" s="117" t="s">
        <v>205</v>
      </c>
      <c r="Q40" s="117" t="s">
        <v>176</v>
      </c>
      <c r="R40" s="117" t="s">
        <v>175</v>
      </c>
      <c r="S40" s="137" t="s">
        <v>205</v>
      </c>
      <c r="T40" s="137" t="s">
        <v>176</v>
      </c>
      <c r="U40" s="137" t="s">
        <v>175</v>
      </c>
      <c r="Z40" s="117" t="s">
        <v>205</v>
      </c>
      <c r="AA40" s="117" t="s">
        <v>176</v>
      </c>
      <c r="AB40" s="117" t="s">
        <v>175</v>
      </c>
      <c r="AC40" s="117" t="s">
        <v>205</v>
      </c>
      <c r="AD40" s="117" t="s">
        <v>176</v>
      </c>
      <c r="AE40" s="117" t="s">
        <v>175</v>
      </c>
      <c r="AF40" s="117" t="s">
        <v>205</v>
      </c>
      <c r="AG40" s="117" t="s">
        <v>176</v>
      </c>
      <c r="AH40" s="117" t="s">
        <v>175</v>
      </c>
      <c r="AI40" s="137" t="s">
        <v>205</v>
      </c>
      <c r="AJ40" s="137" t="s">
        <v>176</v>
      </c>
      <c r="AK40" s="137" t="s">
        <v>175</v>
      </c>
      <c r="AP40" s="117" t="s">
        <v>205</v>
      </c>
      <c r="AQ40" s="117" t="s">
        <v>176</v>
      </c>
      <c r="AR40" s="117" t="s">
        <v>175</v>
      </c>
      <c r="AS40" s="117" t="s">
        <v>205</v>
      </c>
      <c r="AT40" s="117" t="s">
        <v>176</v>
      </c>
      <c r="AU40" s="117" t="s">
        <v>175</v>
      </c>
      <c r="AV40" s="117" t="s">
        <v>205</v>
      </c>
      <c r="AW40" s="117" t="s">
        <v>176</v>
      </c>
      <c r="AX40" s="117" t="s">
        <v>175</v>
      </c>
      <c r="AY40" s="137" t="s">
        <v>205</v>
      </c>
      <c r="AZ40" s="137" t="s">
        <v>176</v>
      </c>
      <c r="BA40" s="137" t="s">
        <v>175</v>
      </c>
      <c r="BD40" s="137" t="s">
        <v>176</v>
      </c>
      <c r="BE40" s="137" t="s">
        <v>175</v>
      </c>
      <c r="BF40" s="137" t="s">
        <v>176</v>
      </c>
      <c r="BG40" s="137" t="s">
        <v>175</v>
      </c>
      <c r="BH40" s="137" t="s">
        <v>176</v>
      </c>
      <c r="BI40" s="137" t="s">
        <v>175</v>
      </c>
      <c r="BJ40" s="137" t="s">
        <v>176</v>
      </c>
      <c r="BK40" s="137" t="s">
        <v>175</v>
      </c>
    </row>
    <row r="41" spans="1:63" ht="14.4">
      <c r="A41" s="121" t="s">
        <v>55</v>
      </c>
      <c r="B41" s="118">
        <v>31</v>
      </c>
      <c r="C41" s="118">
        <f>B41*24</f>
        <v>744</v>
      </c>
      <c r="D41" s="122">
        <f t="shared" ref="D41:D52" si="80">E41*1000/C41</f>
        <v>34.946236559139784</v>
      </c>
      <c r="E41" s="118">
        <v>26</v>
      </c>
      <c r="H41" s="123"/>
      <c r="J41" s="124">
        <v>1.61</v>
      </c>
      <c r="K41" s="125">
        <f t="shared" ref="K41:K52" si="81">J41*D41</f>
        <v>56.263440860215056</v>
      </c>
      <c r="L41" s="125">
        <f>$E41*J41</f>
        <v>41.86</v>
      </c>
      <c r="M41" s="124">
        <v>0.52</v>
      </c>
      <c r="N41" s="125">
        <f t="shared" ref="N41:N52" si="82">M41*D41</f>
        <v>18.172043010752688</v>
      </c>
      <c r="O41" s="125">
        <f>$E41*M41</f>
        <v>13.52</v>
      </c>
      <c r="P41" s="124">
        <v>1</v>
      </c>
      <c r="Q41" s="125">
        <f t="shared" ref="Q41:Q52" si="83">P41*D41</f>
        <v>34.946236559139784</v>
      </c>
      <c r="R41" s="125">
        <f>$E41*P41</f>
        <v>26</v>
      </c>
      <c r="S41" s="124">
        <v>1</v>
      </c>
      <c r="T41" s="125">
        <f t="shared" ref="T41:T52" si="84">S41*D41</f>
        <v>34.946236559139784</v>
      </c>
      <c r="U41" s="125">
        <f>$E41*S41</f>
        <v>26</v>
      </c>
      <c r="X41" s="123"/>
      <c r="Y41" s="123"/>
      <c r="Z41" s="124">
        <v>1.94</v>
      </c>
      <c r="AA41" s="125">
        <f>Z41*$D41</f>
        <v>67.795698924731184</v>
      </c>
      <c r="AB41" s="125">
        <f t="shared" ref="AB41:AB52" si="85">$E41*Z41</f>
        <v>50.44</v>
      </c>
      <c r="AC41" s="124">
        <v>0.51</v>
      </c>
      <c r="AD41" s="125">
        <f>AC41*$D41</f>
        <v>17.822580645161292</v>
      </c>
      <c r="AE41" s="125">
        <f t="shared" ref="AE41:AE52" si="86">$E41*AC41</f>
        <v>13.26</v>
      </c>
      <c r="AF41" s="124">
        <v>0.95</v>
      </c>
      <c r="AG41" s="125">
        <f>AF41*$D41</f>
        <v>33.198924731182792</v>
      </c>
      <c r="AH41" s="125">
        <f t="shared" ref="AH41:AH52" si="87">$E41*AF41</f>
        <v>24.7</v>
      </c>
      <c r="AI41" s="124">
        <v>0.95</v>
      </c>
      <c r="AJ41" s="125">
        <f>AI41*$D41</f>
        <v>33.198924731182792</v>
      </c>
      <c r="AK41" s="125">
        <f t="shared" ref="AK41:AK52" si="88">$E41*AI41</f>
        <v>24.7</v>
      </c>
      <c r="AL41" s="162"/>
      <c r="AN41" s="123"/>
      <c r="AO41" s="123"/>
      <c r="AP41" s="124">
        <v>1.92</v>
      </c>
      <c r="AQ41" s="125">
        <f>AP41*$D41</f>
        <v>67.096774193548384</v>
      </c>
      <c r="AR41" s="125">
        <f t="shared" ref="AR41:AR52" si="89">$E41*AP41</f>
        <v>49.92</v>
      </c>
      <c r="AS41" s="124">
        <v>0.55000000000000004</v>
      </c>
      <c r="AT41" s="125">
        <f>AS41*$D41</f>
        <v>19.220430107526884</v>
      </c>
      <c r="AU41" s="125">
        <f t="shared" ref="AU41:AU52" si="90">$E41*AS41</f>
        <v>14.3</v>
      </c>
      <c r="AV41" s="124">
        <v>0.85</v>
      </c>
      <c r="AW41" s="125">
        <f>AV41*$D41</f>
        <v>29.704301075268816</v>
      </c>
      <c r="AX41" s="125">
        <f t="shared" ref="AX41:AX52" si="91">$E41*AV41</f>
        <v>22.099999999999998</v>
      </c>
      <c r="AY41" s="124">
        <v>0.85</v>
      </c>
      <c r="AZ41" s="125">
        <f>AY41*$D41</f>
        <v>29.704301075268816</v>
      </c>
      <c r="BA41" s="125">
        <f t="shared" ref="BA41:BA52" si="92">$E41*AY41</f>
        <v>22.099999999999998</v>
      </c>
      <c r="BD41" s="139">
        <f>(K41+AQ41)/2</f>
        <v>61.68010752688172</v>
      </c>
      <c r="BE41" s="139">
        <f>(L41+AR41)/2</f>
        <v>45.89</v>
      </c>
      <c r="BF41" s="139">
        <f>(N41+AT41)/2</f>
        <v>18.696236559139784</v>
      </c>
      <c r="BG41" s="139">
        <f>(O41+AU41)/2</f>
        <v>13.91</v>
      </c>
      <c r="BH41" s="139">
        <f>(Q41+AW41)/2</f>
        <v>32.325268817204304</v>
      </c>
      <c r="BI41" s="139">
        <f>(R41+AX41)/2</f>
        <v>24.049999999999997</v>
      </c>
      <c r="BJ41" s="139">
        <f>(T41+AZ41)/2</f>
        <v>32.325268817204304</v>
      </c>
      <c r="BK41" s="139">
        <f>(U41+BA41)/2</f>
        <v>24.049999999999997</v>
      </c>
    </row>
    <row r="42" spans="1:63" ht="14.4">
      <c r="A42" s="126" t="s">
        <v>56</v>
      </c>
      <c r="B42" s="118">
        <v>28</v>
      </c>
      <c r="C42" s="118">
        <f t="shared" ref="C42:C52" si="93">B42*24</f>
        <v>672</v>
      </c>
      <c r="D42" s="122">
        <f t="shared" si="80"/>
        <v>74.404761904761898</v>
      </c>
      <c r="E42" s="118">
        <v>50</v>
      </c>
      <c r="H42" s="123"/>
      <c r="J42" s="124">
        <v>1.45</v>
      </c>
      <c r="K42" s="125">
        <f t="shared" si="81"/>
        <v>107.88690476190474</v>
      </c>
      <c r="L42" s="125">
        <f t="shared" ref="L42:L52" si="94">$E42*J42</f>
        <v>72.5</v>
      </c>
      <c r="M42" s="124">
        <v>0.45</v>
      </c>
      <c r="N42" s="125">
        <f t="shared" si="82"/>
        <v>33.482142857142854</v>
      </c>
      <c r="O42" s="125">
        <f t="shared" ref="O42:O52" si="95">$E42*M42</f>
        <v>22.5</v>
      </c>
      <c r="P42" s="124">
        <v>0.98</v>
      </c>
      <c r="Q42" s="125">
        <f t="shared" si="83"/>
        <v>72.916666666666657</v>
      </c>
      <c r="R42" s="125">
        <f t="shared" ref="R42:R52" si="96">$E42*P42</f>
        <v>49</v>
      </c>
      <c r="S42" s="124">
        <v>0.98</v>
      </c>
      <c r="T42" s="125">
        <f t="shared" si="84"/>
        <v>72.916666666666657</v>
      </c>
      <c r="U42" s="125">
        <f t="shared" ref="U42:U52" si="97">$E42*S42</f>
        <v>49</v>
      </c>
      <c r="X42" s="123"/>
      <c r="Y42" s="123"/>
      <c r="Z42" s="124">
        <v>1.64</v>
      </c>
      <c r="AA42" s="125">
        <f t="shared" ref="AA42:AA43" si="98">Z42*$D42</f>
        <v>122.0238095238095</v>
      </c>
      <c r="AB42" s="125">
        <f t="shared" si="85"/>
        <v>82</v>
      </c>
      <c r="AC42" s="124">
        <v>0.44</v>
      </c>
      <c r="AD42" s="125">
        <f t="shared" ref="AD42:AD43" si="99">AC42*$D42</f>
        <v>32.738095238095234</v>
      </c>
      <c r="AE42" s="125">
        <f t="shared" si="86"/>
        <v>22</v>
      </c>
      <c r="AF42" s="124">
        <v>0.92</v>
      </c>
      <c r="AG42" s="125">
        <f t="shared" ref="AG42:AG43" si="100">AF42*$D42</f>
        <v>68.452380952380949</v>
      </c>
      <c r="AH42" s="125">
        <f t="shared" si="87"/>
        <v>46</v>
      </c>
      <c r="AI42" s="124">
        <v>0.92</v>
      </c>
      <c r="AJ42" s="125">
        <f t="shared" ref="AJ42:AJ43" si="101">AI42*$D42</f>
        <v>68.452380952380949</v>
      </c>
      <c r="AK42" s="125">
        <f t="shared" si="88"/>
        <v>46</v>
      </c>
      <c r="AL42" s="162"/>
      <c r="AN42" s="123"/>
      <c r="AO42" s="123"/>
      <c r="AP42" s="124">
        <v>1.54</v>
      </c>
      <c r="AQ42" s="125">
        <f t="shared" ref="AQ42:AQ52" si="102">AP42*$D42</f>
        <v>114.58333333333333</v>
      </c>
      <c r="AR42" s="125">
        <f t="shared" si="89"/>
        <v>77</v>
      </c>
      <c r="AS42" s="124">
        <v>0.47</v>
      </c>
      <c r="AT42" s="125">
        <f t="shared" ref="AT42:AT52" si="103">AS42*$D42</f>
        <v>34.970238095238088</v>
      </c>
      <c r="AU42" s="125">
        <f t="shared" si="90"/>
        <v>23.5</v>
      </c>
      <c r="AV42" s="124">
        <v>0.8</v>
      </c>
      <c r="AW42" s="125">
        <f t="shared" ref="AW42:AW52" si="104">AV42*$D42</f>
        <v>59.523809523809518</v>
      </c>
      <c r="AX42" s="125">
        <f t="shared" si="91"/>
        <v>40</v>
      </c>
      <c r="AY42" s="124">
        <v>0.8</v>
      </c>
      <c r="AZ42" s="125">
        <f t="shared" ref="AZ42:AZ52" si="105">AY42*$D42</f>
        <v>59.523809523809518</v>
      </c>
      <c r="BA42" s="125">
        <f t="shared" si="92"/>
        <v>40</v>
      </c>
      <c r="BD42" s="139">
        <f t="shared" ref="BD42:BD52" si="106">(K42+AQ42)/2</f>
        <v>111.23511904761904</v>
      </c>
      <c r="BE42" s="139">
        <f t="shared" ref="BE42:BE47" si="107">(L42+AR42)/2</f>
        <v>74.75</v>
      </c>
      <c r="BF42" s="139">
        <f t="shared" ref="BF42:BF52" si="108">(N42+AT42)/2</f>
        <v>34.226190476190467</v>
      </c>
      <c r="BG42" s="139">
        <f t="shared" ref="BG42:BG47" si="109">(O42+AU42)/2</f>
        <v>23</v>
      </c>
      <c r="BH42" s="139">
        <f t="shared" ref="BH42:BH52" si="110">(Q42+AW42)/2</f>
        <v>66.220238095238088</v>
      </c>
      <c r="BI42" s="139">
        <f t="shared" ref="BI42:BI52" si="111">(R42+AX42)/2</f>
        <v>44.5</v>
      </c>
      <c r="BJ42" s="139">
        <f t="shared" ref="BJ42:BJ52" si="112">(T42+AZ42)/2</f>
        <v>66.220238095238088</v>
      </c>
      <c r="BK42" s="139">
        <f t="shared" ref="BK42:BK45" si="113">(U42+BA42)/2</f>
        <v>44.5</v>
      </c>
    </row>
    <row r="43" spans="1:63" ht="14.4">
      <c r="A43" s="126" t="s">
        <v>57</v>
      </c>
      <c r="B43" s="118">
        <v>31</v>
      </c>
      <c r="C43" s="118">
        <f t="shared" si="93"/>
        <v>744</v>
      </c>
      <c r="D43" s="122">
        <f t="shared" si="80"/>
        <v>120.96774193548387</v>
      </c>
      <c r="E43" s="118">
        <v>90</v>
      </c>
      <c r="H43" s="123"/>
      <c r="J43" s="124">
        <v>1.25</v>
      </c>
      <c r="K43" s="125">
        <f t="shared" si="81"/>
        <v>151.20967741935485</v>
      </c>
      <c r="L43" s="125">
        <f t="shared" si="94"/>
        <v>112.5</v>
      </c>
      <c r="M43" s="124">
        <v>0.52</v>
      </c>
      <c r="N43" s="125">
        <f t="shared" si="82"/>
        <v>62.903225806451616</v>
      </c>
      <c r="O43" s="125">
        <f t="shared" si="95"/>
        <v>46.800000000000004</v>
      </c>
      <c r="P43" s="124">
        <v>0.96</v>
      </c>
      <c r="Q43" s="125">
        <f t="shared" si="83"/>
        <v>116.12903225806451</v>
      </c>
      <c r="R43" s="125">
        <f t="shared" si="96"/>
        <v>86.399999999999991</v>
      </c>
      <c r="S43" s="124">
        <v>0.96</v>
      </c>
      <c r="T43" s="125">
        <f t="shared" si="84"/>
        <v>116.12903225806451</v>
      </c>
      <c r="U43" s="125">
        <f t="shared" si="97"/>
        <v>86.399999999999991</v>
      </c>
      <c r="X43" s="123"/>
      <c r="Y43" s="123"/>
      <c r="Z43" s="124">
        <v>1.28</v>
      </c>
      <c r="AA43" s="125">
        <f t="shared" si="98"/>
        <v>154.83870967741936</v>
      </c>
      <c r="AB43" s="125">
        <f t="shared" si="85"/>
        <v>115.2</v>
      </c>
      <c r="AC43" s="124">
        <v>0.35</v>
      </c>
      <c r="AD43" s="125">
        <f t="shared" si="99"/>
        <v>42.338709677419352</v>
      </c>
      <c r="AE43" s="125">
        <f t="shared" si="86"/>
        <v>31.499999999999996</v>
      </c>
      <c r="AF43" s="124">
        <v>0.85</v>
      </c>
      <c r="AG43" s="125">
        <f t="shared" si="100"/>
        <v>102.8225806451613</v>
      </c>
      <c r="AH43" s="125">
        <f t="shared" si="87"/>
        <v>76.5</v>
      </c>
      <c r="AI43" s="124">
        <v>0.85</v>
      </c>
      <c r="AJ43" s="125">
        <f t="shared" si="101"/>
        <v>102.8225806451613</v>
      </c>
      <c r="AK43" s="125">
        <f t="shared" si="88"/>
        <v>76.5</v>
      </c>
      <c r="AL43" s="162"/>
      <c r="AN43" s="123"/>
      <c r="AO43" s="123"/>
      <c r="AP43" s="124">
        <v>1.06</v>
      </c>
      <c r="AQ43" s="125">
        <f t="shared" si="102"/>
        <v>128.2258064516129</v>
      </c>
      <c r="AR43" s="125">
        <f t="shared" si="89"/>
        <v>95.4</v>
      </c>
      <c r="AS43" s="124">
        <v>0.34</v>
      </c>
      <c r="AT43" s="125">
        <f t="shared" si="103"/>
        <v>41.12903225806452</v>
      </c>
      <c r="AU43" s="125">
        <f t="shared" si="90"/>
        <v>30.6</v>
      </c>
      <c r="AV43" s="124">
        <v>0.67</v>
      </c>
      <c r="AW43" s="125">
        <f t="shared" si="104"/>
        <v>81.048387096774192</v>
      </c>
      <c r="AX43" s="125">
        <f t="shared" si="91"/>
        <v>60.300000000000004</v>
      </c>
      <c r="AY43" s="124">
        <v>0.67</v>
      </c>
      <c r="AZ43" s="125">
        <f t="shared" si="105"/>
        <v>81.048387096774192</v>
      </c>
      <c r="BA43" s="125">
        <f t="shared" si="92"/>
        <v>60.300000000000004</v>
      </c>
      <c r="BD43" s="139">
        <f t="shared" si="106"/>
        <v>139.71774193548387</v>
      </c>
      <c r="BE43" s="139">
        <f t="shared" si="107"/>
        <v>103.95</v>
      </c>
      <c r="BF43" s="139">
        <f t="shared" si="108"/>
        <v>52.016129032258064</v>
      </c>
      <c r="BG43" s="139">
        <f t="shared" si="109"/>
        <v>38.700000000000003</v>
      </c>
      <c r="BH43" s="139">
        <f t="shared" si="110"/>
        <v>98.588709677419359</v>
      </c>
      <c r="BI43" s="139">
        <f t="shared" si="111"/>
        <v>73.349999999999994</v>
      </c>
      <c r="BJ43" s="139">
        <f t="shared" si="112"/>
        <v>98.588709677419359</v>
      </c>
      <c r="BK43" s="139">
        <f t="shared" si="113"/>
        <v>73.349999999999994</v>
      </c>
    </row>
    <row r="44" spans="1:63" ht="14.4">
      <c r="A44" s="126" t="s">
        <v>58</v>
      </c>
      <c r="B44" s="118">
        <v>30</v>
      </c>
      <c r="C44" s="118">
        <f t="shared" si="93"/>
        <v>720</v>
      </c>
      <c r="D44" s="122">
        <f t="shared" si="80"/>
        <v>186.11111111111111</v>
      </c>
      <c r="E44" s="118">
        <v>134</v>
      </c>
      <c r="H44" s="123"/>
      <c r="I44" s="117" t="s">
        <v>244</v>
      </c>
      <c r="J44" s="124">
        <v>1.0900000000000001</v>
      </c>
      <c r="K44" s="125">
        <f t="shared" si="81"/>
        <v>202.86111111111114</v>
      </c>
      <c r="L44" s="125">
        <f t="shared" si="94"/>
        <v>146.06</v>
      </c>
      <c r="M44" s="124">
        <v>0.68</v>
      </c>
      <c r="N44" s="125">
        <f t="shared" si="82"/>
        <v>126.55555555555557</v>
      </c>
      <c r="O44" s="125">
        <f t="shared" si="95"/>
        <v>91.12</v>
      </c>
      <c r="P44" s="124">
        <v>0.94</v>
      </c>
      <c r="Q44" s="125">
        <f t="shared" si="83"/>
        <v>174.94444444444443</v>
      </c>
      <c r="R44" s="125">
        <f t="shared" si="96"/>
        <v>125.96</v>
      </c>
      <c r="S44" s="124">
        <v>0.94</v>
      </c>
      <c r="T44" s="125">
        <f t="shared" si="84"/>
        <v>174.94444444444443</v>
      </c>
      <c r="U44" s="125">
        <f t="shared" si="97"/>
        <v>125.96</v>
      </c>
      <c r="W44" s="117" t="s">
        <v>244</v>
      </c>
      <c r="X44" s="123"/>
      <c r="Y44" s="123"/>
      <c r="Z44" s="124">
        <v>0.99</v>
      </c>
      <c r="AA44" s="125">
        <f>Z44*$D44</f>
        <v>184.25</v>
      </c>
      <c r="AB44" s="125">
        <f t="shared" si="85"/>
        <v>132.66</v>
      </c>
      <c r="AC44" s="124">
        <v>0.34</v>
      </c>
      <c r="AD44" s="125">
        <f>AC44*$D44</f>
        <v>63.277777777777786</v>
      </c>
      <c r="AE44" s="125">
        <f t="shared" si="86"/>
        <v>45.56</v>
      </c>
      <c r="AF44" s="124">
        <v>0.81</v>
      </c>
      <c r="AG44" s="125">
        <f>AF44*$D44</f>
        <v>150.75</v>
      </c>
      <c r="AH44" s="125">
        <f t="shared" si="87"/>
        <v>108.54</v>
      </c>
      <c r="AI44" s="124">
        <v>0.81</v>
      </c>
      <c r="AJ44" s="125">
        <f>AI44*$D44</f>
        <v>150.75</v>
      </c>
      <c r="AK44" s="125">
        <f t="shared" si="88"/>
        <v>108.54</v>
      </c>
      <c r="AL44" s="162"/>
      <c r="AM44" s="117" t="s">
        <v>244</v>
      </c>
      <c r="AN44" s="123"/>
      <c r="AO44" s="123"/>
      <c r="AP44" s="124">
        <v>0.72</v>
      </c>
      <c r="AQ44" s="125">
        <f>AP44*$D44</f>
        <v>134</v>
      </c>
      <c r="AR44" s="125">
        <f t="shared" si="89"/>
        <v>96.47999999999999</v>
      </c>
      <c r="AS44" s="124">
        <v>0.3</v>
      </c>
      <c r="AT44" s="125">
        <f>AS44*$D44</f>
        <v>55.833333333333336</v>
      </c>
      <c r="AU44" s="125">
        <f t="shared" si="90"/>
        <v>40.199999999999996</v>
      </c>
      <c r="AV44" s="124">
        <v>0.59</v>
      </c>
      <c r="AW44" s="125">
        <f>AV44*$D44</f>
        <v>109.80555555555556</v>
      </c>
      <c r="AX44" s="125">
        <f t="shared" si="91"/>
        <v>79.06</v>
      </c>
      <c r="AY44" s="124">
        <v>0.59</v>
      </c>
      <c r="AZ44" s="125">
        <f>AY44*$D44</f>
        <v>109.80555555555556</v>
      </c>
      <c r="BA44" s="125">
        <f t="shared" si="92"/>
        <v>79.06</v>
      </c>
      <c r="BC44" s="117" t="s">
        <v>244</v>
      </c>
      <c r="BD44" s="139">
        <f t="shared" si="106"/>
        <v>168.43055555555557</v>
      </c>
      <c r="BE44" s="139">
        <f t="shared" si="107"/>
        <v>121.27</v>
      </c>
      <c r="BF44" s="139">
        <f t="shared" si="108"/>
        <v>91.194444444444457</v>
      </c>
      <c r="BG44" s="139">
        <f t="shared" si="109"/>
        <v>65.66</v>
      </c>
      <c r="BH44" s="139">
        <f t="shared" si="110"/>
        <v>142.375</v>
      </c>
      <c r="BI44" s="139">
        <f t="shared" si="111"/>
        <v>102.50999999999999</v>
      </c>
      <c r="BJ44" s="139">
        <f t="shared" si="112"/>
        <v>142.375</v>
      </c>
      <c r="BK44" s="139">
        <f t="shared" si="113"/>
        <v>102.50999999999999</v>
      </c>
    </row>
    <row r="45" spans="1:63" ht="14.4">
      <c r="A45" s="126" t="s">
        <v>183</v>
      </c>
      <c r="B45" s="118">
        <v>31</v>
      </c>
      <c r="C45" s="118">
        <f t="shared" si="93"/>
        <v>744</v>
      </c>
      <c r="D45" s="122">
        <f t="shared" si="80"/>
        <v>228.49462365591398</v>
      </c>
      <c r="E45" s="118">
        <v>170</v>
      </c>
      <c r="H45" s="123"/>
      <c r="I45" s="117" t="s">
        <v>243</v>
      </c>
      <c r="J45" s="124">
        <v>1.01</v>
      </c>
      <c r="K45" s="125">
        <f t="shared" si="81"/>
        <v>230.77956989247312</v>
      </c>
      <c r="L45" s="125">
        <f t="shared" si="94"/>
        <v>171.7</v>
      </c>
      <c r="M45" s="124">
        <v>0.79</v>
      </c>
      <c r="N45" s="125">
        <f t="shared" si="82"/>
        <v>180.51075268817206</v>
      </c>
      <c r="O45" s="125">
        <f t="shared" si="95"/>
        <v>134.30000000000001</v>
      </c>
      <c r="P45" s="124">
        <v>0.94</v>
      </c>
      <c r="Q45" s="125">
        <f t="shared" si="83"/>
        <v>214.78494623655914</v>
      </c>
      <c r="R45" s="125">
        <f t="shared" si="96"/>
        <v>159.79999999999998</v>
      </c>
      <c r="S45" s="124">
        <v>0.94</v>
      </c>
      <c r="T45" s="125">
        <f t="shared" si="84"/>
        <v>214.78494623655914</v>
      </c>
      <c r="U45" s="125">
        <f t="shared" si="97"/>
        <v>159.79999999999998</v>
      </c>
      <c r="W45" s="117" t="s">
        <v>243</v>
      </c>
      <c r="X45" s="123"/>
      <c r="Y45" s="123"/>
      <c r="Z45" s="124">
        <v>0.84</v>
      </c>
      <c r="AA45" s="125">
        <f t="shared" ref="AA45:AA52" si="114">Z45*$D45</f>
        <v>191.93548387096774</v>
      </c>
      <c r="AB45" s="125">
        <f t="shared" si="85"/>
        <v>142.79999999999998</v>
      </c>
      <c r="AC45" s="124">
        <v>0.4</v>
      </c>
      <c r="AD45" s="125">
        <f t="shared" ref="AD45:AD52" si="115">AC45*$D45</f>
        <v>91.397849462365599</v>
      </c>
      <c r="AE45" s="125">
        <f t="shared" si="86"/>
        <v>68</v>
      </c>
      <c r="AF45" s="124">
        <v>0.79</v>
      </c>
      <c r="AG45" s="125">
        <f t="shared" ref="AG45:AG52" si="116">AF45*$D45</f>
        <v>180.51075268817206</v>
      </c>
      <c r="AH45" s="125">
        <f t="shared" si="87"/>
        <v>134.30000000000001</v>
      </c>
      <c r="AI45" s="124">
        <v>0.79</v>
      </c>
      <c r="AJ45" s="125">
        <f t="shared" ref="AJ45:AJ52" si="117">AI45*$D45</f>
        <v>180.51075268817206</v>
      </c>
      <c r="AK45" s="125">
        <f t="shared" si="88"/>
        <v>134.30000000000001</v>
      </c>
      <c r="AL45" s="162"/>
      <c r="AM45" s="117" t="s">
        <v>243</v>
      </c>
      <c r="AN45" s="123"/>
      <c r="AO45" s="123"/>
      <c r="AP45" s="124">
        <v>0.55000000000000004</v>
      </c>
      <c r="AQ45" s="125">
        <f t="shared" si="102"/>
        <v>125.6720430107527</v>
      </c>
      <c r="AR45" s="125">
        <f t="shared" si="89"/>
        <v>93.500000000000014</v>
      </c>
      <c r="AS45" s="124">
        <v>0.3</v>
      </c>
      <c r="AT45" s="125">
        <f t="shared" si="103"/>
        <v>68.548387096774192</v>
      </c>
      <c r="AU45" s="125">
        <f t="shared" si="90"/>
        <v>51</v>
      </c>
      <c r="AV45" s="124">
        <v>0.56000000000000005</v>
      </c>
      <c r="AW45" s="125">
        <f t="shared" si="104"/>
        <v>127.95698924731184</v>
      </c>
      <c r="AX45" s="125">
        <f t="shared" si="91"/>
        <v>95.2</v>
      </c>
      <c r="AY45" s="124">
        <v>0.56000000000000005</v>
      </c>
      <c r="AZ45" s="125">
        <f t="shared" si="105"/>
        <v>127.95698924731184</v>
      </c>
      <c r="BA45" s="125">
        <f t="shared" si="92"/>
        <v>95.2</v>
      </c>
      <c r="BC45" s="117" t="s">
        <v>243</v>
      </c>
      <c r="BD45" s="139">
        <f t="shared" si="106"/>
        <v>178.22580645161293</v>
      </c>
      <c r="BE45" s="139">
        <f t="shared" si="107"/>
        <v>132.6</v>
      </c>
      <c r="BF45" s="139">
        <f t="shared" si="108"/>
        <v>124.52956989247312</v>
      </c>
      <c r="BG45" s="139">
        <f t="shared" si="109"/>
        <v>92.65</v>
      </c>
      <c r="BH45" s="139">
        <f t="shared" si="110"/>
        <v>171.37096774193549</v>
      </c>
      <c r="BI45" s="139">
        <f t="shared" si="111"/>
        <v>127.5</v>
      </c>
      <c r="BJ45" s="139">
        <f t="shared" si="112"/>
        <v>171.37096774193549</v>
      </c>
      <c r="BK45" s="139">
        <f t="shared" si="113"/>
        <v>127.5</v>
      </c>
    </row>
    <row r="46" spans="1:63" ht="14.4">
      <c r="A46" s="126" t="s">
        <v>184</v>
      </c>
      <c r="B46" s="118">
        <v>30</v>
      </c>
      <c r="C46" s="118">
        <f t="shared" si="93"/>
        <v>720</v>
      </c>
      <c r="D46" s="122">
        <f t="shared" si="80"/>
        <v>247.22222222222223</v>
      </c>
      <c r="E46" s="118">
        <v>178</v>
      </c>
      <c r="H46" s="123"/>
      <c r="J46" s="124">
        <v>0.97</v>
      </c>
      <c r="K46" s="125">
        <f t="shared" si="81"/>
        <v>239.80555555555554</v>
      </c>
      <c r="L46" s="125">
        <f t="shared" si="94"/>
        <v>172.66</v>
      </c>
      <c r="M46" s="124">
        <v>0.82</v>
      </c>
      <c r="N46" s="125">
        <f t="shared" si="82"/>
        <v>202.72222222222223</v>
      </c>
      <c r="O46" s="125">
        <f t="shared" si="95"/>
        <v>145.95999999999998</v>
      </c>
      <c r="P46" s="124">
        <v>0.93</v>
      </c>
      <c r="Q46" s="125">
        <f t="shared" si="83"/>
        <v>229.91666666666669</v>
      </c>
      <c r="R46" s="125">
        <f t="shared" si="96"/>
        <v>165.54000000000002</v>
      </c>
      <c r="S46" s="124">
        <v>0.93</v>
      </c>
      <c r="T46" s="125">
        <f t="shared" si="84"/>
        <v>229.91666666666669</v>
      </c>
      <c r="U46" s="125">
        <f t="shared" si="97"/>
        <v>165.54000000000002</v>
      </c>
      <c r="X46" s="123"/>
      <c r="Y46" s="123"/>
      <c r="Z46" s="124">
        <v>0.78</v>
      </c>
      <c r="AA46" s="125">
        <f t="shared" si="114"/>
        <v>192.83333333333334</v>
      </c>
      <c r="AB46" s="125">
        <f t="shared" si="85"/>
        <v>138.84</v>
      </c>
      <c r="AC46" s="124">
        <v>0.45</v>
      </c>
      <c r="AD46" s="125">
        <f t="shared" si="115"/>
        <v>111.25</v>
      </c>
      <c r="AE46" s="125">
        <f t="shared" si="86"/>
        <v>80.100000000000009</v>
      </c>
      <c r="AF46" s="124">
        <v>0.78</v>
      </c>
      <c r="AG46" s="125">
        <f t="shared" si="116"/>
        <v>192.83333333333334</v>
      </c>
      <c r="AH46" s="125">
        <f t="shared" si="87"/>
        <v>138.84</v>
      </c>
      <c r="AI46" s="124">
        <v>0.78</v>
      </c>
      <c r="AJ46" s="125">
        <f t="shared" si="117"/>
        <v>192.83333333333334</v>
      </c>
      <c r="AK46" s="125">
        <f t="shared" si="88"/>
        <v>138.84</v>
      </c>
      <c r="AL46" s="162"/>
      <c r="AN46" s="123"/>
      <c r="AO46" s="123"/>
      <c r="AP46" s="124">
        <v>0.5</v>
      </c>
      <c r="AQ46" s="125">
        <f t="shared" si="102"/>
        <v>123.61111111111111</v>
      </c>
      <c r="AR46" s="125">
        <f t="shared" si="89"/>
        <v>89</v>
      </c>
      <c r="AS46" s="124">
        <v>0.32</v>
      </c>
      <c r="AT46" s="125">
        <f t="shared" si="103"/>
        <v>79.111111111111114</v>
      </c>
      <c r="AU46" s="125">
        <f t="shared" si="90"/>
        <v>56.96</v>
      </c>
      <c r="AV46" s="124">
        <v>0.55000000000000004</v>
      </c>
      <c r="AW46" s="125">
        <f t="shared" si="104"/>
        <v>135.97222222222223</v>
      </c>
      <c r="AX46" s="125">
        <f t="shared" si="91"/>
        <v>97.9</v>
      </c>
      <c r="AY46" s="124">
        <v>0.55000000000000004</v>
      </c>
      <c r="AZ46" s="125">
        <f t="shared" si="105"/>
        <v>135.97222222222223</v>
      </c>
      <c r="BA46" s="125">
        <f t="shared" si="92"/>
        <v>97.9</v>
      </c>
      <c r="BD46" s="139">
        <f t="shared" si="106"/>
        <v>181.70833333333331</v>
      </c>
      <c r="BE46" s="139">
        <f t="shared" si="107"/>
        <v>130.82999999999998</v>
      </c>
      <c r="BF46" s="139">
        <f t="shared" si="108"/>
        <v>140.91666666666669</v>
      </c>
      <c r="BG46" s="139">
        <f t="shared" si="109"/>
        <v>101.46</v>
      </c>
      <c r="BH46" s="139">
        <f t="shared" si="110"/>
        <v>182.94444444444446</v>
      </c>
      <c r="BI46" s="139">
        <f t="shared" si="111"/>
        <v>131.72000000000003</v>
      </c>
      <c r="BJ46" s="139">
        <f t="shared" si="112"/>
        <v>182.94444444444446</v>
      </c>
      <c r="BK46" s="139">
        <f>(U46+BA46)/2</f>
        <v>131.72000000000003</v>
      </c>
    </row>
    <row r="47" spans="1:63" ht="14.4">
      <c r="A47" s="126" t="s">
        <v>185</v>
      </c>
      <c r="B47" s="118">
        <v>31</v>
      </c>
      <c r="C47" s="118">
        <f t="shared" si="93"/>
        <v>744</v>
      </c>
      <c r="D47" s="122">
        <f t="shared" si="80"/>
        <v>223.11827956989248</v>
      </c>
      <c r="E47" s="118">
        <v>166</v>
      </c>
      <c r="H47" s="123"/>
      <c r="J47" s="124">
        <v>0.98</v>
      </c>
      <c r="K47" s="125">
        <f t="shared" si="81"/>
        <v>218.65591397849462</v>
      </c>
      <c r="L47" s="125">
        <f t="shared" si="94"/>
        <v>162.68</v>
      </c>
      <c r="M47" s="124">
        <v>0.81</v>
      </c>
      <c r="N47" s="125">
        <f t="shared" si="82"/>
        <v>180.72580645161293</v>
      </c>
      <c r="O47" s="125">
        <f t="shared" si="95"/>
        <v>134.46</v>
      </c>
      <c r="P47" s="124">
        <v>0.93</v>
      </c>
      <c r="Q47" s="125">
        <f t="shared" si="83"/>
        <v>207.50000000000003</v>
      </c>
      <c r="R47" s="125">
        <f t="shared" si="96"/>
        <v>154.38</v>
      </c>
      <c r="S47" s="124">
        <v>0.93</v>
      </c>
      <c r="T47" s="125">
        <f t="shared" si="84"/>
        <v>207.50000000000003</v>
      </c>
      <c r="U47" s="125">
        <f t="shared" si="97"/>
        <v>154.38</v>
      </c>
      <c r="X47" s="123"/>
      <c r="Y47" s="123"/>
      <c r="Z47" s="124">
        <v>0.81</v>
      </c>
      <c r="AA47" s="125">
        <f t="shared" si="114"/>
        <v>180.72580645161293</v>
      </c>
      <c r="AB47" s="125">
        <f t="shared" si="85"/>
        <v>134.46</v>
      </c>
      <c r="AC47" s="124">
        <v>0.42</v>
      </c>
      <c r="AD47" s="125">
        <f t="shared" si="115"/>
        <v>93.709677419354833</v>
      </c>
      <c r="AE47" s="125">
        <f t="shared" si="86"/>
        <v>69.72</v>
      </c>
      <c r="AF47" s="124">
        <v>0.78</v>
      </c>
      <c r="AG47" s="125">
        <f t="shared" si="116"/>
        <v>174.03225806451613</v>
      </c>
      <c r="AH47" s="125">
        <f t="shared" si="87"/>
        <v>129.48000000000002</v>
      </c>
      <c r="AI47" s="124">
        <v>0.78</v>
      </c>
      <c r="AJ47" s="125">
        <f t="shared" si="117"/>
        <v>174.03225806451613</v>
      </c>
      <c r="AK47" s="125">
        <f t="shared" si="88"/>
        <v>129.48000000000002</v>
      </c>
      <c r="AL47" s="162"/>
      <c r="AN47" s="123"/>
      <c r="AO47" s="123"/>
      <c r="AP47" s="124">
        <v>0.52</v>
      </c>
      <c r="AQ47" s="125">
        <f t="shared" si="102"/>
        <v>116.02150537634409</v>
      </c>
      <c r="AR47" s="125">
        <f t="shared" si="89"/>
        <v>86.320000000000007</v>
      </c>
      <c r="AS47" s="124">
        <v>0.31</v>
      </c>
      <c r="AT47" s="125">
        <f t="shared" si="103"/>
        <v>69.166666666666671</v>
      </c>
      <c r="AU47" s="125">
        <f t="shared" si="90"/>
        <v>51.46</v>
      </c>
      <c r="AV47" s="124">
        <v>0.55000000000000004</v>
      </c>
      <c r="AW47" s="125">
        <f t="shared" si="104"/>
        <v>122.71505376344088</v>
      </c>
      <c r="AX47" s="125">
        <f t="shared" si="91"/>
        <v>91.300000000000011</v>
      </c>
      <c r="AY47" s="124">
        <v>0.55000000000000004</v>
      </c>
      <c r="AZ47" s="125">
        <f t="shared" si="105"/>
        <v>122.71505376344088</v>
      </c>
      <c r="BA47" s="125">
        <f t="shared" si="92"/>
        <v>91.300000000000011</v>
      </c>
      <c r="BD47" s="139">
        <f t="shared" si="106"/>
        <v>167.33870967741936</v>
      </c>
      <c r="BE47" s="139">
        <f t="shared" si="107"/>
        <v>124.5</v>
      </c>
      <c r="BF47" s="139">
        <f t="shared" si="108"/>
        <v>124.94623655913981</v>
      </c>
      <c r="BG47" s="139">
        <f t="shared" si="109"/>
        <v>92.960000000000008</v>
      </c>
      <c r="BH47" s="139">
        <f t="shared" si="110"/>
        <v>165.10752688172045</v>
      </c>
      <c r="BI47" s="139">
        <f t="shared" si="111"/>
        <v>122.84</v>
      </c>
      <c r="BJ47" s="139">
        <f t="shared" si="112"/>
        <v>165.10752688172045</v>
      </c>
      <c r="BK47" s="139">
        <f t="shared" ref="BK47:BK48" si="118">(U47+BA47)/2</f>
        <v>122.84</v>
      </c>
    </row>
    <row r="48" spans="1:63" ht="14.4">
      <c r="A48" s="126" t="s">
        <v>186</v>
      </c>
      <c r="B48" s="118">
        <v>31</v>
      </c>
      <c r="C48" s="118">
        <f t="shared" si="93"/>
        <v>744</v>
      </c>
      <c r="D48" s="122">
        <f t="shared" si="80"/>
        <v>200.26881720430109</v>
      </c>
      <c r="E48" s="118">
        <v>149</v>
      </c>
      <c r="H48" s="123"/>
      <c r="J48" s="124">
        <v>1.04</v>
      </c>
      <c r="K48" s="125">
        <f t="shared" si="81"/>
        <v>208.27956989247315</v>
      </c>
      <c r="L48" s="125">
        <f t="shared" si="94"/>
        <v>154.96</v>
      </c>
      <c r="M48" s="124">
        <v>0.73</v>
      </c>
      <c r="N48" s="125">
        <f t="shared" si="82"/>
        <v>146.19623655913978</v>
      </c>
      <c r="O48" s="125">
        <f t="shared" si="95"/>
        <v>108.77</v>
      </c>
      <c r="P48" s="124">
        <v>0.94</v>
      </c>
      <c r="Q48" s="125">
        <f t="shared" si="83"/>
        <v>188.25268817204301</v>
      </c>
      <c r="R48" s="125">
        <f t="shared" si="96"/>
        <v>140.06</v>
      </c>
      <c r="S48" s="124">
        <v>0.94</v>
      </c>
      <c r="T48" s="125">
        <f t="shared" si="84"/>
        <v>188.25268817204301</v>
      </c>
      <c r="U48" s="125">
        <f t="shared" si="97"/>
        <v>140.06</v>
      </c>
      <c r="X48" s="123"/>
      <c r="Y48" s="123"/>
      <c r="Z48" s="124">
        <v>0.91</v>
      </c>
      <c r="AA48" s="125">
        <f t="shared" si="114"/>
        <v>182.24462365591398</v>
      </c>
      <c r="AB48" s="125">
        <f t="shared" si="85"/>
        <v>135.59</v>
      </c>
      <c r="AC48" s="124">
        <v>0.35</v>
      </c>
      <c r="AD48" s="125">
        <f t="shared" si="115"/>
        <v>70.094086021505376</v>
      </c>
      <c r="AE48" s="125">
        <f t="shared" si="86"/>
        <v>52.15</v>
      </c>
      <c r="AF48" s="124">
        <v>0.79</v>
      </c>
      <c r="AG48" s="125">
        <f t="shared" si="116"/>
        <v>158.21236559139786</v>
      </c>
      <c r="AH48" s="125">
        <f t="shared" si="87"/>
        <v>117.71000000000001</v>
      </c>
      <c r="AI48" s="124">
        <v>0.79</v>
      </c>
      <c r="AJ48" s="125">
        <f t="shared" si="117"/>
        <v>158.21236559139786</v>
      </c>
      <c r="AK48" s="125">
        <f t="shared" si="88"/>
        <v>117.71000000000001</v>
      </c>
      <c r="AL48" s="162"/>
      <c r="AN48" s="123"/>
      <c r="AO48" s="123"/>
      <c r="AP48" s="124">
        <v>0.62</v>
      </c>
      <c r="AQ48" s="125">
        <f t="shared" si="102"/>
        <v>124.16666666666667</v>
      </c>
      <c r="AR48" s="125">
        <f t="shared" si="89"/>
        <v>92.38</v>
      </c>
      <c r="AS48" s="124">
        <v>0.3</v>
      </c>
      <c r="AT48" s="125">
        <f t="shared" si="103"/>
        <v>60.08064516129032</v>
      </c>
      <c r="AU48" s="125">
        <f t="shared" si="90"/>
        <v>44.699999999999996</v>
      </c>
      <c r="AV48" s="124">
        <v>0.56999999999999995</v>
      </c>
      <c r="AW48" s="125">
        <f t="shared" si="104"/>
        <v>114.15322580645162</v>
      </c>
      <c r="AX48" s="125">
        <f t="shared" si="91"/>
        <v>84.929999999999993</v>
      </c>
      <c r="AY48" s="124">
        <v>0.56999999999999995</v>
      </c>
      <c r="AZ48" s="125">
        <f t="shared" si="105"/>
        <v>114.15322580645162</v>
      </c>
      <c r="BA48" s="125">
        <f t="shared" si="92"/>
        <v>84.929999999999993</v>
      </c>
      <c r="BD48" s="139">
        <f t="shared" si="106"/>
        <v>166.22311827956992</v>
      </c>
      <c r="BE48" s="139">
        <f>(L48+AR48)/2</f>
        <v>123.67</v>
      </c>
      <c r="BF48" s="139">
        <f t="shared" si="108"/>
        <v>103.13844086021504</v>
      </c>
      <c r="BG48" s="139">
        <f>(O48+AU48)/2</f>
        <v>76.734999999999999</v>
      </c>
      <c r="BH48" s="139">
        <f t="shared" si="110"/>
        <v>151.2029569892473</v>
      </c>
      <c r="BI48" s="139">
        <f t="shared" si="111"/>
        <v>112.495</v>
      </c>
      <c r="BJ48" s="139">
        <f t="shared" si="112"/>
        <v>151.2029569892473</v>
      </c>
      <c r="BK48" s="139">
        <f t="shared" si="118"/>
        <v>112.495</v>
      </c>
    </row>
    <row r="49" spans="1:63" ht="14.4">
      <c r="A49" s="126" t="s">
        <v>187</v>
      </c>
      <c r="B49" s="118">
        <v>30</v>
      </c>
      <c r="C49" s="118">
        <f t="shared" si="93"/>
        <v>720</v>
      </c>
      <c r="D49" s="122">
        <f t="shared" si="80"/>
        <v>147.22222222222223</v>
      </c>
      <c r="E49" s="118">
        <v>106</v>
      </c>
      <c r="H49" s="123"/>
      <c r="J49" s="124">
        <v>1.17</v>
      </c>
      <c r="K49" s="125">
        <f t="shared" si="81"/>
        <v>172.25</v>
      </c>
      <c r="L49" s="125">
        <f t="shared" si="94"/>
        <v>124.02</v>
      </c>
      <c r="M49" s="124">
        <v>0.59</v>
      </c>
      <c r="N49" s="125">
        <f t="shared" si="82"/>
        <v>86.861111111111114</v>
      </c>
      <c r="O49" s="125">
        <f t="shared" si="95"/>
        <v>62.54</v>
      </c>
      <c r="P49" s="124">
        <v>0.95</v>
      </c>
      <c r="Q49" s="125">
        <f t="shared" si="83"/>
        <v>139.86111111111111</v>
      </c>
      <c r="R49" s="125">
        <f t="shared" si="96"/>
        <v>100.69999999999999</v>
      </c>
      <c r="S49" s="124">
        <v>0.95</v>
      </c>
      <c r="T49" s="125">
        <f t="shared" si="84"/>
        <v>139.86111111111111</v>
      </c>
      <c r="U49" s="125">
        <f t="shared" si="97"/>
        <v>100.69999999999999</v>
      </c>
      <c r="X49" s="123"/>
      <c r="Y49" s="123"/>
      <c r="Z49" s="124">
        <v>1.1100000000000001</v>
      </c>
      <c r="AA49" s="125">
        <f t="shared" si="114"/>
        <v>163.41666666666669</v>
      </c>
      <c r="AB49" s="125">
        <f t="shared" si="85"/>
        <v>117.66000000000001</v>
      </c>
      <c r="AC49" s="124">
        <v>0.31</v>
      </c>
      <c r="AD49" s="125">
        <f t="shared" si="115"/>
        <v>45.638888888888893</v>
      </c>
      <c r="AE49" s="125">
        <f t="shared" si="86"/>
        <v>32.86</v>
      </c>
      <c r="AF49" s="124">
        <v>0.81</v>
      </c>
      <c r="AG49" s="125">
        <f t="shared" si="116"/>
        <v>119.25000000000001</v>
      </c>
      <c r="AH49" s="125">
        <f t="shared" si="87"/>
        <v>85.86</v>
      </c>
      <c r="AI49" s="124">
        <v>0.81</v>
      </c>
      <c r="AJ49" s="125">
        <f t="shared" si="117"/>
        <v>119.25000000000001</v>
      </c>
      <c r="AK49" s="125">
        <f t="shared" si="88"/>
        <v>85.86</v>
      </c>
      <c r="AL49" s="162"/>
      <c r="AN49" s="123"/>
      <c r="AO49" s="123"/>
      <c r="AP49" s="124">
        <v>0.85</v>
      </c>
      <c r="AQ49" s="125">
        <f t="shared" si="102"/>
        <v>125.13888888888889</v>
      </c>
      <c r="AR49" s="125">
        <f t="shared" si="89"/>
        <v>90.1</v>
      </c>
      <c r="AS49" s="124">
        <v>0.28000000000000003</v>
      </c>
      <c r="AT49" s="125">
        <f t="shared" si="103"/>
        <v>41.222222222222229</v>
      </c>
      <c r="AU49" s="125">
        <f t="shared" si="90"/>
        <v>29.680000000000003</v>
      </c>
      <c r="AV49" s="124">
        <v>0.6</v>
      </c>
      <c r="AW49" s="125">
        <f t="shared" si="104"/>
        <v>88.333333333333329</v>
      </c>
      <c r="AX49" s="125">
        <f t="shared" si="91"/>
        <v>63.599999999999994</v>
      </c>
      <c r="AY49" s="124">
        <v>0.6</v>
      </c>
      <c r="AZ49" s="125">
        <f t="shared" si="105"/>
        <v>88.333333333333329</v>
      </c>
      <c r="BA49" s="125">
        <f t="shared" si="92"/>
        <v>63.599999999999994</v>
      </c>
      <c r="BD49" s="139">
        <f t="shared" si="106"/>
        <v>148.69444444444446</v>
      </c>
      <c r="BE49" s="139">
        <f t="shared" ref="BE49:BE52" si="119">(L49+AR49)/2</f>
        <v>107.06</v>
      </c>
      <c r="BF49" s="139">
        <f t="shared" si="108"/>
        <v>64.041666666666671</v>
      </c>
      <c r="BG49" s="139">
        <f t="shared" ref="BG49:BG52" si="120">(O49+AU49)/2</f>
        <v>46.11</v>
      </c>
      <c r="BH49" s="139">
        <f t="shared" si="110"/>
        <v>114.09722222222223</v>
      </c>
      <c r="BI49" s="139">
        <f t="shared" si="111"/>
        <v>82.149999999999991</v>
      </c>
      <c r="BJ49" s="139">
        <f t="shared" si="112"/>
        <v>114.09722222222223</v>
      </c>
      <c r="BK49" s="139">
        <f>(U49+BA49)/2</f>
        <v>82.149999999999991</v>
      </c>
    </row>
    <row r="50" spans="1:63" ht="14.4">
      <c r="A50" s="126" t="s">
        <v>59</v>
      </c>
      <c r="B50" s="118">
        <v>31</v>
      </c>
      <c r="C50" s="118">
        <f t="shared" si="93"/>
        <v>744</v>
      </c>
      <c r="D50" s="122">
        <f t="shared" si="80"/>
        <v>83.333333333333329</v>
      </c>
      <c r="E50" s="118">
        <v>62</v>
      </c>
      <c r="H50" s="123"/>
      <c r="J50" s="124">
        <v>1.33</v>
      </c>
      <c r="K50" s="125">
        <f t="shared" si="81"/>
        <v>110.83333333333333</v>
      </c>
      <c r="L50" s="125">
        <f t="shared" si="94"/>
        <v>82.460000000000008</v>
      </c>
      <c r="M50" s="124">
        <v>0.45</v>
      </c>
      <c r="N50" s="125">
        <f t="shared" si="82"/>
        <v>37.5</v>
      </c>
      <c r="O50" s="125">
        <f t="shared" si="95"/>
        <v>27.900000000000002</v>
      </c>
      <c r="P50" s="124">
        <v>0.96</v>
      </c>
      <c r="Q50" s="125">
        <f t="shared" si="83"/>
        <v>79.999999999999986</v>
      </c>
      <c r="R50" s="125">
        <f t="shared" si="96"/>
        <v>59.519999999999996</v>
      </c>
      <c r="S50" s="124">
        <v>0.96</v>
      </c>
      <c r="T50" s="125">
        <f t="shared" si="84"/>
        <v>79.999999999999986</v>
      </c>
      <c r="U50" s="125">
        <f t="shared" si="97"/>
        <v>59.519999999999996</v>
      </c>
      <c r="X50" s="123"/>
      <c r="Y50" s="123"/>
      <c r="Z50" s="124">
        <v>1.4</v>
      </c>
      <c r="AA50" s="125">
        <f t="shared" si="114"/>
        <v>116.66666666666666</v>
      </c>
      <c r="AB50" s="125">
        <f t="shared" si="85"/>
        <v>86.8</v>
      </c>
      <c r="AC50" s="124">
        <v>0.34</v>
      </c>
      <c r="AD50" s="125">
        <f t="shared" si="115"/>
        <v>28.333333333333332</v>
      </c>
      <c r="AE50" s="125">
        <f t="shared" si="86"/>
        <v>21.080000000000002</v>
      </c>
      <c r="AF50" s="124">
        <v>0.84</v>
      </c>
      <c r="AG50" s="125">
        <f t="shared" si="116"/>
        <v>70</v>
      </c>
      <c r="AH50" s="125">
        <f t="shared" si="87"/>
        <v>52.08</v>
      </c>
      <c r="AI50" s="124">
        <v>0.84</v>
      </c>
      <c r="AJ50" s="125">
        <f t="shared" si="117"/>
        <v>70</v>
      </c>
      <c r="AK50" s="125">
        <f t="shared" si="88"/>
        <v>52.08</v>
      </c>
      <c r="AL50" s="162"/>
      <c r="AN50" s="123"/>
      <c r="AO50" s="123"/>
      <c r="AP50" s="124">
        <v>1.19</v>
      </c>
      <c r="AQ50" s="125">
        <f t="shared" si="102"/>
        <v>99.166666666666657</v>
      </c>
      <c r="AR50" s="125">
        <f t="shared" si="89"/>
        <v>73.78</v>
      </c>
      <c r="AS50" s="124">
        <v>0.3</v>
      </c>
      <c r="AT50" s="125">
        <f t="shared" si="103"/>
        <v>24.999999999999996</v>
      </c>
      <c r="AU50" s="125">
        <f t="shared" si="90"/>
        <v>18.599999999999998</v>
      </c>
      <c r="AV50" s="124">
        <v>0.63</v>
      </c>
      <c r="AW50" s="125">
        <f t="shared" si="104"/>
        <v>52.5</v>
      </c>
      <c r="AX50" s="125">
        <f t="shared" si="91"/>
        <v>39.06</v>
      </c>
      <c r="AY50" s="124">
        <v>0.63</v>
      </c>
      <c r="AZ50" s="125">
        <f t="shared" si="105"/>
        <v>52.5</v>
      </c>
      <c r="BA50" s="125">
        <f t="shared" si="92"/>
        <v>39.06</v>
      </c>
      <c r="BD50" s="139">
        <f t="shared" si="106"/>
        <v>105</v>
      </c>
      <c r="BE50" s="139">
        <f t="shared" si="119"/>
        <v>78.12</v>
      </c>
      <c r="BF50" s="139">
        <f t="shared" si="108"/>
        <v>31.25</v>
      </c>
      <c r="BG50" s="139">
        <f t="shared" si="120"/>
        <v>23.25</v>
      </c>
      <c r="BH50" s="139">
        <f t="shared" si="110"/>
        <v>66.25</v>
      </c>
      <c r="BI50" s="139">
        <f t="shared" si="111"/>
        <v>49.29</v>
      </c>
      <c r="BJ50" s="139">
        <f t="shared" si="112"/>
        <v>66.25</v>
      </c>
      <c r="BK50" s="139">
        <f t="shared" ref="BK50:BK52" si="121">(U50+BA50)/2</f>
        <v>49.29</v>
      </c>
    </row>
    <row r="51" spans="1:63" ht="14.4">
      <c r="A51" s="126" t="s">
        <v>60</v>
      </c>
      <c r="B51" s="118">
        <v>30</v>
      </c>
      <c r="C51" s="118">
        <f t="shared" si="93"/>
        <v>720</v>
      </c>
      <c r="D51" s="122">
        <f t="shared" si="80"/>
        <v>41.666666666666664</v>
      </c>
      <c r="E51" s="118">
        <v>30</v>
      </c>
      <c r="H51" s="123"/>
      <c r="J51" s="124">
        <v>1.52</v>
      </c>
      <c r="K51" s="125">
        <f t="shared" si="81"/>
        <v>63.333333333333329</v>
      </c>
      <c r="L51" s="125">
        <f t="shared" si="94"/>
        <v>45.6</v>
      </c>
      <c r="M51" s="124">
        <v>0.47</v>
      </c>
      <c r="N51" s="125">
        <f t="shared" si="82"/>
        <v>19.583333333333332</v>
      </c>
      <c r="O51" s="125">
        <f t="shared" si="95"/>
        <v>14.1</v>
      </c>
      <c r="P51" s="124">
        <v>0.97</v>
      </c>
      <c r="Q51" s="125">
        <f t="shared" si="83"/>
        <v>40.416666666666664</v>
      </c>
      <c r="R51" s="125">
        <f t="shared" si="96"/>
        <v>29.099999999999998</v>
      </c>
      <c r="S51" s="124">
        <v>0.97</v>
      </c>
      <c r="T51" s="125">
        <f t="shared" si="84"/>
        <v>40.416666666666664</v>
      </c>
      <c r="U51" s="125">
        <f t="shared" si="97"/>
        <v>29.099999999999998</v>
      </c>
      <c r="X51" s="123"/>
      <c r="Y51" s="123"/>
      <c r="Z51" s="124">
        <v>1.75</v>
      </c>
      <c r="AA51" s="125">
        <f t="shared" si="114"/>
        <v>72.916666666666657</v>
      </c>
      <c r="AB51" s="125">
        <f t="shared" si="85"/>
        <v>52.5</v>
      </c>
      <c r="AC51" s="124">
        <v>0.4</v>
      </c>
      <c r="AD51" s="125">
        <f t="shared" si="115"/>
        <v>16.666666666666668</v>
      </c>
      <c r="AE51" s="125">
        <f t="shared" si="86"/>
        <v>12</v>
      </c>
      <c r="AF51" s="124">
        <v>0.86</v>
      </c>
      <c r="AG51" s="125">
        <f t="shared" si="116"/>
        <v>35.833333333333329</v>
      </c>
      <c r="AH51" s="125">
        <f t="shared" si="87"/>
        <v>25.8</v>
      </c>
      <c r="AI51" s="124">
        <v>0.86</v>
      </c>
      <c r="AJ51" s="125">
        <f t="shared" si="117"/>
        <v>35.833333333333329</v>
      </c>
      <c r="AK51" s="125">
        <f t="shared" si="88"/>
        <v>25.8</v>
      </c>
      <c r="AL51" s="162"/>
      <c r="AN51" s="123"/>
      <c r="AO51" s="123"/>
      <c r="AP51" s="124">
        <v>1.62</v>
      </c>
      <c r="AQ51" s="125">
        <f t="shared" si="102"/>
        <v>67.5</v>
      </c>
      <c r="AR51" s="125">
        <f t="shared" si="89"/>
        <v>48.6</v>
      </c>
      <c r="AS51" s="124">
        <v>0.37</v>
      </c>
      <c r="AT51" s="125">
        <f t="shared" si="103"/>
        <v>15.416666666666666</v>
      </c>
      <c r="AU51" s="125">
        <f t="shared" si="90"/>
        <v>11.1</v>
      </c>
      <c r="AV51" s="124">
        <v>0.65</v>
      </c>
      <c r="AW51" s="125">
        <f t="shared" si="104"/>
        <v>27.083333333333332</v>
      </c>
      <c r="AX51" s="125">
        <f t="shared" si="91"/>
        <v>19.5</v>
      </c>
      <c r="AY51" s="124">
        <v>0.65</v>
      </c>
      <c r="AZ51" s="125">
        <f t="shared" si="105"/>
        <v>27.083333333333332</v>
      </c>
      <c r="BA51" s="125">
        <f t="shared" si="92"/>
        <v>19.5</v>
      </c>
      <c r="BD51" s="139">
        <f t="shared" si="106"/>
        <v>65.416666666666657</v>
      </c>
      <c r="BE51" s="139">
        <f t="shared" si="119"/>
        <v>47.1</v>
      </c>
      <c r="BF51" s="139">
        <f t="shared" si="108"/>
        <v>17.5</v>
      </c>
      <c r="BG51" s="139">
        <f t="shared" si="120"/>
        <v>12.6</v>
      </c>
      <c r="BH51" s="139">
        <f t="shared" si="110"/>
        <v>33.75</v>
      </c>
      <c r="BI51" s="139">
        <f t="shared" si="111"/>
        <v>24.299999999999997</v>
      </c>
      <c r="BJ51" s="139">
        <f t="shared" si="112"/>
        <v>33.75</v>
      </c>
      <c r="BK51" s="139">
        <f t="shared" si="121"/>
        <v>24.299999999999997</v>
      </c>
    </row>
    <row r="52" spans="1:63" ht="15" thickBot="1">
      <c r="A52" s="127" t="s">
        <v>61</v>
      </c>
      <c r="B52" s="118">
        <v>31</v>
      </c>
      <c r="C52" s="118">
        <f t="shared" si="93"/>
        <v>744</v>
      </c>
      <c r="D52" s="122">
        <f t="shared" si="80"/>
        <v>28.225806451612904</v>
      </c>
      <c r="E52" s="118">
        <v>21</v>
      </c>
      <c r="H52" s="123"/>
      <c r="J52" s="124">
        <v>1.76</v>
      </c>
      <c r="K52" s="125">
        <f t="shared" si="81"/>
        <v>49.677419354838712</v>
      </c>
      <c r="L52" s="125">
        <f t="shared" si="94"/>
        <v>36.96</v>
      </c>
      <c r="M52" s="124">
        <v>0.48</v>
      </c>
      <c r="N52" s="125">
        <f t="shared" si="82"/>
        <v>13.548387096774194</v>
      </c>
      <c r="O52" s="125">
        <f t="shared" si="95"/>
        <v>10.08</v>
      </c>
      <c r="P52" s="124">
        <v>0.99</v>
      </c>
      <c r="Q52" s="125">
        <f t="shared" si="83"/>
        <v>27.943548387096776</v>
      </c>
      <c r="R52" s="125">
        <f t="shared" si="96"/>
        <v>20.79</v>
      </c>
      <c r="S52" s="124">
        <v>0.99</v>
      </c>
      <c r="T52" s="125">
        <f t="shared" si="84"/>
        <v>27.943548387096776</v>
      </c>
      <c r="U52" s="125">
        <f t="shared" si="97"/>
        <v>20.79</v>
      </c>
      <c r="X52" s="123"/>
      <c r="Y52" s="123"/>
      <c r="Z52" s="124">
        <v>2.15</v>
      </c>
      <c r="AA52" s="125">
        <f t="shared" si="114"/>
        <v>60.685483870967744</v>
      </c>
      <c r="AB52" s="125">
        <f t="shared" si="85"/>
        <v>45.15</v>
      </c>
      <c r="AC52" s="124">
        <v>0.46</v>
      </c>
      <c r="AD52" s="125">
        <f t="shared" si="115"/>
        <v>12.983870967741936</v>
      </c>
      <c r="AE52" s="125">
        <f t="shared" si="86"/>
        <v>9.66</v>
      </c>
      <c r="AF52" s="124">
        <v>0.9</v>
      </c>
      <c r="AG52" s="125">
        <f t="shared" si="116"/>
        <v>25.403225806451616</v>
      </c>
      <c r="AH52" s="125">
        <f t="shared" si="87"/>
        <v>18.900000000000002</v>
      </c>
      <c r="AI52" s="124">
        <v>0.9</v>
      </c>
      <c r="AJ52" s="125">
        <f t="shared" si="117"/>
        <v>25.403225806451616</v>
      </c>
      <c r="AK52" s="125">
        <f t="shared" si="88"/>
        <v>18.900000000000002</v>
      </c>
      <c r="AL52" s="162"/>
      <c r="AN52" s="123"/>
      <c r="AO52" s="123"/>
      <c r="AP52" s="124">
        <v>2.19</v>
      </c>
      <c r="AQ52" s="125">
        <f t="shared" si="102"/>
        <v>61.814516129032256</v>
      </c>
      <c r="AR52" s="125">
        <f t="shared" si="89"/>
        <v>45.99</v>
      </c>
      <c r="AS52" s="124">
        <v>0.46</v>
      </c>
      <c r="AT52" s="125">
        <f t="shared" si="103"/>
        <v>12.983870967741936</v>
      </c>
      <c r="AU52" s="125">
        <f t="shared" si="90"/>
        <v>9.66</v>
      </c>
      <c r="AV52" s="124">
        <v>0.77</v>
      </c>
      <c r="AW52" s="125">
        <f t="shared" si="104"/>
        <v>21.733870967741936</v>
      </c>
      <c r="AX52" s="125">
        <f t="shared" si="91"/>
        <v>16.170000000000002</v>
      </c>
      <c r="AY52" s="124">
        <v>0.77</v>
      </c>
      <c r="AZ52" s="125">
        <f t="shared" si="105"/>
        <v>21.733870967741936</v>
      </c>
      <c r="BA52" s="125">
        <f t="shared" si="92"/>
        <v>16.170000000000002</v>
      </c>
      <c r="BD52" s="139">
        <f t="shared" si="106"/>
        <v>55.745967741935488</v>
      </c>
      <c r="BE52" s="139">
        <f t="shared" si="119"/>
        <v>41.475000000000001</v>
      </c>
      <c r="BF52" s="139">
        <f t="shared" si="108"/>
        <v>13.266129032258064</v>
      </c>
      <c r="BG52" s="139">
        <f t="shared" si="120"/>
        <v>9.870000000000001</v>
      </c>
      <c r="BH52" s="139">
        <f t="shared" si="110"/>
        <v>24.838709677419356</v>
      </c>
      <c r="BI52" s="139">
        <f t="shared" si="111"/>
        <v>18.48</v>
      </c>
      <c r="BJ52" s="139">
        <f t="shared" si="112"/>
        <v>24.838709677419356</v>
      </c>
      <c r="BK52" s="139">
        <f t="shared" si="121"/>
        <v>18.48</v>
      </c>
    </row>
    <row r="54" spans="1:63">
      <c r="A54" s="128" t="s">
        <v>201</v>
      </c>
      <c r="B54" s="120" t="s">
        <v>172</v>
      </c>
      <c r="C54" s="120" t="s">
        <v>173</v>
      </c>
      <c r="E54" s="120" t="s">
        <v>174</v>
      </c>
      <c r="F54" s="120"/>
      <c r="G54" s="120"/>
      <c r="J54" s="305" t="s">
        <v>177</v>
      </c>
      <c r="K54" s="306"/>
      <c r="L54" s="307"/>
      <c r="M54" s="305" t="s">
        <v>178</v>
      </c>
      <c r="N54" s="306"/>
      <c r="O54" s="307"/>
      <c r="P54" s="305" t="s">
        <v>179</v>
      </c>
      <c r="Q54" s="306"/>
      <c r="R54" s="306"/>
      <c r="S54" s="308" t="s">
        <v>180</v>
      </c>
      <c r="T54" s="308"/>
      <c r="U54" s="308"/>
      <c r="Z54" s="305" t="s">
        <v>177</v>
      </c>
      <c r="AA54" s="306"/>
      <c r="AB54" s="307"/>
      <c r="AC54" s="305" t="s">
        <v>178</v>
      </c>
      <c r="AD54" s="306"/>
      <c r="AE54" s="307"/>
      <c r="AF54" s="305" t="s">
        <v>179</v>
      </c>
      <c r="AG54" s="306"/>
      <c r="AH54" s="306"/>
      <c r="AI54" s="308" t="s">
        <v>180</v>
      </c>
      <c r="AJ54" s="308"/>
      <c r="AK54" s="308"/>
      <c r="AL54" s="128"/>
      <c r="AP54" s="305" t="s">
        <v>177</v>
      </c>
      <c r="AQ54" s="306"/>
      <c r="AR54" s="307"/>
      <c r="AS54" s="305" t="s">
        <v>178</v>
      </c>
      <c r="AT54" s="306"/>
      <c r="AU54" s="307"/>
      <c r="AV54" s="305" t="s">
        <v>179</v>
      </c>
      <c r="AW54" s="306"/>
      <c r="AX54" s="306"/>
      <c r="AY54" s="308" t="s">
        <v>180</v>
      </c>
      <c r="AZ54" s="308"/>
      <c r="BA54" s="308"/>
      <c r="BD54" s="310" t="s">
        <v>177</v>
      </c>
      <c r="BE54" s="311"/>
      <c r="BF54" s="310" t="s">
        <v>178</v>
      </c>
      <c r="BG54" s="311"/>
      <c r="BH54" s="310" t="s">
        <v>181</v>
      </c>
      <c r="BI54" s="311"/>
      <c r="BJ54" s="308" t="s">
        <v>180</v>
      </c>
      <c r="BK54" s="308"/>
    </row>
    <row r="55" spans="1:63" ht="13.8" thickBot="1">
      <c r="D55" s="118" t="s">
        <v>176</v>
      </c>
      <c r="E55" s="118" t="s">
        <v>175</v>
      </c>
      <c r="J55" s="117" t="s">
        <v>205</v>
      </c>
      <c r="K55" s="117" t="s">
        <v>176</v>
      </c>
      <c r="L55" s="117" t="s">
        <v>175</v>
      </c>
      <c r="M55" s="117" t="s">
        <v>205</v>
      </c>
      <c r="N55" s="117" t="s">
        <v>176</v>
      </c>
      <c r="O55" s="117" t="s">
        <v>175</v>
      </c>
      <c r="P55" s="117" t="s">
        <v>205</v>
      </c>
      <c r="Q55" s="117" t="s">
        <v>176</v>
      </c>
      <c r="R55" s="117" t="s">
        <v>175</v>
      </c>
      <c r="S55" s="137" t="s">
        <v>205</v>
      </c>
      <c r="T55" s="137" t="s">
        <v>176</v>
      </c>
      <c r="U55" s="137" t="s">
        <v>175</v>
      </c>
      <c r="Z55" s="117" t="s">
        <v>205</v>
      </c>
      <c r="AA55" s="117" t="s">
        <v>176</v>
      </c>
      <c r="AB55" s="117" t="s">
        <v>175</v>
      </c>
      <c r="AC55" s="117" t="s">
        <v>205</v>
      </c>
      <c r="AD55" s="117" t="s">
        <v>176</v>
      </c>
      <c r="AE55" s="117" t="s">
        <v>175</v>
      </c>
      <c r="AF55" s="117" t="s">
        <v>205</v>
      </c>
      <c r="AG55" s="117" t="s">
        <v>176</v>
      </c>
      <c r="AH55" s="117" t="s">
        <v>175</v>
      </c>
      <c r="AI55" s="137" t="s">
        <v>205</v>
      </c>
      <c r="AJ55" s="137" t="s">
        <v>176</v>
      </c>
      <c r="AK55" s="137" t="s">
        <v>175</v>
      </c>
      <c r="AP55" s="117" t="s">
        <v>205</v>
      </c>
      <c r="AQ55" s="117" t="s">
        <v>176</v>
      </c>
      <c r="AR55" s="117" t="s">
        <v>175</v>
      </c>
      <c r="AS55" s="117" t="s">
        <v>205</v>
      </c>
      <c r="AT55" s="117" t="s">
        <v>176</v>
      </c>
      <c r="AU55" s="117" t="s">
        <v>175</v>
      </c>
      <c r="AV55" s="117" t="s">
        <v>205</v>
      </c>
      <c r="AW55" s="117" t="s">
        <v>176</v>
      </c>
      <c r="AX55" s="117" t="s">
        <v>175</v>
      </c>
      <c r="AY55" s="137" t="s">
        <v>205</v>
      </c>
      <c r="AZ55" s="137" t="s">
        <v>176</v>
      </c>
      <c r="BA55" s="137" t="s">
        <v>175</v>
      </c>
      <c r="BD55" s="137" t="s">
        <v>176</v>
      </c>
      <c r="BE55" s="137" t="s">
        <v>175</v>
      </c>
      <c r="BF55" s="137" t="s">
        <v>176</v>
      </c>
      <c r="BG55" s="137" t="s">
        <v>175</v>
      </c>
      <c r="BH55" s="137" t="s">
        <v>176</v>
      </c>
      <c r="BI55" s="137" t="s">
        <v>175</v>
      </c>
      <c r="BJ55" s="137" t="s">
        <v>176</v>
      </c>
      <c r="BK55" s="137" t="s">
        <v>175</v>
      </c>
    </row>
    <row r="56" spans="1:63" ht="14.4">
      <c r="A56" s="121" t="s">
        <v>55</v>
      </c>
      <c r="B56" s="118">
        <v>31</v>
      </c>
      <c r="C56" s="118">
        <f>B56*24</f>
        <v>744</v>
      </c>
      <c r="D56" s="122">
        <f t="shared" ref="D56:D67" si="122">E56*1000/C56</f>
        <v>34.946236559139784</v>
      </c>
      <c r="E56" s="118">
        <v>26</v>
      </c>
      <c r="H56" s="123"/>
      <c r="J56" s="124">
        <v>1.62</v>
      </c>
      <c r="K56" s="125">
        <f t="shared" ref="K56:K67" si="123">J56*D56</f>
        <v>56.612903225806456</v>
      </c>
      <c r="L56" s="125">
        <f>$E56*J56</f>
        <v>42.120000000000005</v>
      </c>
      <c r="M56" s="124">
        <v>0.5</v>
      </c>
      <c r="N56" s="125">
        <f t="shared" ref="N56:N67" si="124">M56*D56</f>
        <v>17.473118279569892</v>
      </c>
      <c r="O56" s="125">
        <f>$E56*M56</f>
        <v>13</v>
      </c>
      <c r="P56" s="124">
        <v>1</v>
      </c>
      <c r="Q56" s="125">
        <f t="shared" ref="Q56:Q67" si="125">P56*D56</f>
        <v>34.946236559139784</v>
      </c>
      <c r="R56" s="125">
        <f>$E56*P56</f>
        <v>26</v>
      </c>
      <c r="S56" s="124">
        <v>1</v>
      </c>
      <c r="T56" s="125">
        <f t="shared" ref="T56:T67" si="126">S56*D56</f>
        <v>34.946236559139784</v>
      </c>
      <c r="U56" s="125">
        <f>$E56*S56</f>
        <v>26</v>
      </c>
      <c r="X56" s="123"/>
      <c r="Y56" s="123"/>
      <c r="Z56" s="124">
        <v>1.96</v>
      </c>
      <c r="AA56" s="125">
        <f>Z56*$D56</f>
        <v>68.494623655913969</v>
      </c>
      <c r="AB56" s="125">
        <f t="shared" ref="AB56:AB67" si="127">$E56*Z56</f>
        <v>50.96</v>
      </c>
      <c r="AC56" s="124">
        <v>0.49</v>
      </c>
      <c r="AD56" s="125">
        <f>AC56*$D56</f>
        <v>17.123655913978492</v>
      </c>
      <c r="AE56" s="125">
        <f t="shared" ref="AE56:AE67" si="128">$E56*AC56</f>
        <v>12.74</v>
      </c>
      <c r="AF56" s="124">
        <v>0.95</v>
      </c>
      <c r="AG56" s="125">
        <f>AF56*$D56</f>
        <v>33.198924731182792</v>
      </c>
      <c r="AH56" s="125">
        <f t="shared" ref="AH56:AH67" si="129">$E56*AF56</f>
        <v>24.7</v>
      </c>
      <c r="AI56" s="124">
        <v>0.95</v>
      </c>
      <c r="AJ56" s="125">
        <f>AI56*$D56</f>
        <v>33.198924731182792</v>
      </c>
      <c r="AK56" s="125">
        <f t="shared" ref="AK56:AK67" si="130">$E56*AI56</f>
        <v>24.7</v>
      </c>
      <c r="AL56" s="162"/>
      <c r="AN56" s="123"/>
      <c r="AO56" s="123"/>
      <c r="AP56" s="124">
        <v>1.94</v>
      </c>
      <c r="AQ56" s="125">
        <f>AP56*$D56</f>
        <v>67.795698924731184</v>
      </c>
      <c r="AR56" s="125">
        <f t="shared" ref="AR56:AR67" si="131">$E56*AP56</f>
        <v>50.44</v>
      </c>
      <c r="AS56" s="124">
        <v>0.53</v>
      </c>
      <c r="AT56" s="125">
        <f>AS56*$D56</f>
        <v>18.521505376344088</v>
      </c>
      <c r="AU56" s="125">
        <f t="shared" ref="AU56:AU67" si="132">$E56*AS56</f>
        <v>13.780000000000001</v>
      </c>
      <c r="AV56" s="124">
        <v>0.85</v>
      </c>
      <c r="AW56" s="125">
        <f>AV56*$D56</f>
        <v>29.704301075268816</v>
      </c>
      <c r="AX56" s="125">
        <f t="shared" ref="AX56:AX67" si="133">$E56*AV56</f>
        <v>22.099999999999998</v>
      </c>
      <c r="AY56" s="124">
        <v>0.85</v>
      </c>
      <c r="AZ56" s="125">
        <f>AY56*$D56</f>
        <v>29.704301075268816</v>
      </c>
      <c r="BA56" s="125">
        <f t="shared" ref="BA56:BA67" si="134">$E56*AY56</f>
        <v>22.099999999999998</v>
      </c>
      <c r="BD56" s="139">
        <f>(K56+AQ56)/2</f>
        <v>62.204301075268816</v>
      </c>
      <c r="BE56" s="139">
        <f>(L56+AR56)/2</f>
        <v>46.28</v>
      </c>
      <c r="BF56" s="139">
        <f>(N56+AT56)/2</f>
        <v>17.997311827956992</v>
      </c>
      <c r="BG56" s="139">
        <f>(O56+AU56)/2</f>
        <v>13.39</v>
      </c>
      <c r="BH56" s="139">
        <f>(Q56+AW56)/2</f>
        <v>32.325268817204304</v>
      </c>
      <c r="BI56" s="139">
        <f>(R56+AX56)/2</f>
        <v>24.049999999999997</v>
      </c>
      <c r="BJ56" s="139">
        <f>(T56+AZ56)/2</f>
        <v>32.325268817204304</v>
      </c>
      <c r="BK56" s="139">
        <f>(U56+BA56)/2</f>
        <v>24.049999999999997</v>
      </c>
    </row>
    <row r="57" spans="1:63" ht="14.4">
      <c r="A57" s="126" t="s">
        <v>56</v>
      </c>
      <c r="B57" s="118">
        <v>28</v>
      </c>
      <c r="C57" s="118">
        <f t="shared" ref="C57:C67" si="135">B57*24</f>
        <v>672</v>
      </c>
      <c r="D57" s="122">
        <f t="shared" si="122"/>
        <v>72.916666666666671</v>
      </c>
      <c r="E57" s="118">
        <v>49</v>
      </c>
      <c r="H57" s="123"/>
      <c r="J57" s="124">
        <v>1.46</v>
      </c>
      <c r="K57" s="125">
        <f t="shared" si="123"/>
        <v>106.45833333333334</v>
      </c>
      <c r="L57" s="125">
        <f t="shared" ref="L57:L67" si="136">$E57*J57</f>
        <v>71.539999999999992</v>
      </c>
      <c r="M57" s="124">
        <v>0.43</v>
      </c>
      <c r="N57" s="125">
        <f t="shared" si="124"/>
        <v>31.354166666666668</v>
      </c>
      <c r="O57" s="125">
        <f t="shared" ref="O57:O67" si="137">$E57*M57</f>
        <v>21.07</v>
      </c>
      <c r="P57" s="124">
        <v>0.99</v>
      </c>
      <c r="Q57" s="125">
        <f t="shared" si="125"/>
        <v>72.1875</v>
      </c>
      <c r="R57" s="125">
        <f t="shared" ref="R57:R67" si="138">$E57*P57</f>
        <v>48.51</v>
      </c>
      <c r="S57" s="124">
        <v>0.99</v>
      </c>
      <c r="T57" s="125">
        <f t="shared" si="126"/>
        <v>72.1875</v>
      </c>
      <c r="U57" s="125">
        <f t="shared" ref="U57:U67" si="139">$E57*S57</f>
        <v>48.51</v>
      </c>
      <c r="X57" s="123"/>
      <c r="Y57" s="123"/>
      <c r="Z57" s="124">
        <v>1.65</v>
      </c>
      <c r="AA57" s="125">
        <f t="shared" ref="AA57:AA58" si="140">Z57*$D57</f>
        <v>120.3125</v>
      </c>
      <c r="AB57" s="125">
        <f t="shared" si="127"/>
        <v>80.849999999999994</v>
      </c>
      <c r="AC57" s="124">
        <v>0.41</v>
      </c>
      <c r="AD57" s="125">
        <f t="shared" ref="AD57:AD58" si="141">AC57*$D57</f>
        <v>29.895833333333332</v>
      </c>
      <c r="AE57" s="125">
        <f t="shared" si="128"/>
        <v>20.09</v>
      </c>
      <c r="AF57" s="124">
        <v>0.91</v>
      </c>
      <c r="AG57" s="125">
        <f t="shared" ref="AG57:AG58" si="142">AF57*$D57</f>
        <v>66.354166666666671</v>
      </c>
      <c r="AH57" s="125">
        <f t="shared" si="129"/>
        <v>44.59</v>
      </c>
      <c r="AI57" s="124">
        <v>0.91</v>
      </c>
      <c r="AJ57" s="125">
        <f t="shared" ref="AJ57:AJ58" si="143">AI57*$D57</f>
        <v>66.354166666666671</v>
      </c>
      <c r="AK57" s="125">
        <f t="shared" si="130"/>
        <v>44.59</v>
      </c>
      <c r="AL57" s="162"/>
      <c r="AN57" s="123"/>
      <c r="AO57" s="123"/>
      <c r="AP57" s="124">
        <v>1.53</v>
      </c>
      <c r="AQ57" s="125">
        <f t="shared" ref="AQ57:AQ67" si="144">AP57*$D57</f>
        <v>111.56250000000001</v>
      </c>
      <c r="AR57" s="125">
        <f t="shared" si="131"/>
        <v>74.97</v>
      </c>
      <c r="AS57" s="124">
        <v>0.44</v>
      </c>
      <c r="AT57" s="125">
        <f t="shared" ref="AT57:AT67" si="145">AS57*$D57</f>
        <v>32.083333333333336</v>
      </c>
      <c r="AU57" s="125">
        <f t="shared" si="132"/>
        <v>21.56</v>
      </c>
      <c r="AV57" s="124">
        <v>0.78</v>
      </c>
      <c r="AW57" s="125">
        <f t="shared" ref="AW57:AW67" si="146">AV57*$D57</f>
        <v>56.875000000000007</v>
      </c>
      <c r="AX57" s="125">
        <f t="shared" si="133"/>
        <v>38.22</v>
      </c>
      <c r="AY57" s="124">
        <v>0.78</v>
      </c>
      <c r="AZ57" s="125">
        <f t="shared" ref="AZ57:AZ67" si="147">AY57*$D57</f>
        <v>56.875000000000007</v>
      </c>
      <c r="BA57" s="125">
        <f t="shared" si="134"/>
        <v>38.22</v>
      </c>
      <c r="BD57" s="139">
        <f t="shared" ref="BD57:BD67" si="148">(K57+AQ57)/2</f>
        <v>109.01041666666669</v>
      </c>
      <c r="BE57" s="139">
        <f t="shared" ref="BE57:BE62" si="149">(L57+AR57)/2</f>
        <v>73.254999999999995</v>
      </c>
      <c r="BF57" s="139">
        <f t="shared" ref="BF57:BF67" si="150">(N57+AT57)/2</f>
        <v>31.71875</v>
      </c>
      <c r="BG57" s="139">
        <f t="shared" ref="BG57:BG62" si="151">(O57+AU57)/2</f>
        <v>21.314999999999998</v>
      </c>
      <c r="BH57" s="139">
        <f t="shared" ref="BH57:BH67" si="152">(Q57+AW57)/2</f>
        <v>64.53125</v>
      </c>
      <c r="BI57" s="139">
        <f t="shared" ref="BI57:BI67" si="153">(R57+AX57)/2</f>
        <v>43.364999999999995</v>
      </c>
      <c r="BJ57" s="139">
        <f t="shared" ref="BJ57:BJ67" si="154">(T57+AZ57)/2</f>
        <v>64.53125</v>
      </c>
      <c r="BK57" s="139">
        <f t="shared" ref="BK57:BK60" si="155">(U57+BA57)/2</f>
        <v>43.364999999999995</v>
      </c>
    </row>
    <row r="58" spans="1:63" ht="14.4">
      <c r="A58" s="126" t="s">
        <v>57</v>
      </c>
      <c r="B58" s="118">
        <v>31</v>
      </c>
      <c r="C58" s="118">
        <f t="shared" si="135"/>
        <v>744</v>
      </c>
      <c r="D58" s="122">
        <f t="shared" si="122"/>
        <v>118.27956989247312</v>
      </c>
      <c r="E58" s="118">
        <v>88</v>
      </c>
      <c r="H58" s="123"/>
      <c r="J58" s="124">
        <v>1.26</v>
      </c>
      <c r="K58" s="125">
        <f t="shared" si="123"/>
        <v>149.03225806451613</v>
      </c>
      <c r="L58" s="125">
        <f t="shared" si="136"/>
        <v>110.88</v>
      </c>
      <c r="M58" s="124">
        <v>0.51</v>
      </c>
      <c r="N58" s="125">
        <f t="shared" si="124"/>
        <v>60.322580645161295</v>
      </c>
      <c r="O58" s="125">
        <f t="shared" si="137"/>
        <v>44.88</v>
      </c>
      <c r="P58" s="124">
        <v>0.96</v>
      </c>
      <c r="Q58" s="125">
        <f t="shared" si="125"/>
        <v>113.54838709677419</v>
      </c>
      <c r="R58" s="125">
        <f t="shared" si="138"/>
        <v>84.47999999999999</v>
      </c>
      <c r="S58" s="124">
        <v>0.96</v>
      </c>
      <c r="T58" s="125">
        <f t="shared" si="126"/>
        <v>113.54838709677419</v>
      </c>
      <c r="U58" s="125">
        <f t="shared" si="139"/>
        <v>84.47999999999999</v>
      </c>
      <c r="X58" s="123"/>
      <c r="Y58" s="123"/>
      <c r="Z58" s="124">
        <v>1.28</v>
      </c>
      <c r="AA58" s="125">
        <f t="shared" si="140"/>
        <v>151.3978494623656</v>
      </c>
      <c r="AB58" s="125">
        <f t="shared" si="127"/>
        <v>112.64</v>
      </c>
      <c r="AC58" s="124">
        <v>0.33</v>
      </c>
      <c r="AD58" s="125">
        <f t="shared" si="141"/>
        <v>39.032258064516128</v>
      </c>
      <c r="AE58" s="125">
        <f t="shared" si="128"/>
        <v>29.040000000000003</v>
      </c>
      <c r="AF58" s="124">
        <v>0.84</v>
      </c>
      <c r="AG58" s="125">
        <f t="shared" si="142"/>
        <v>99.354838709677423</v>
      </c>
      <c r="AH58" s="125">
        <f t="shared" si="129"/>
        <v>73.92</v>
      </c>
      <c r="AI58" s="124">
        <v>0.84</v>
      </c>
      <c r="AJ58" s="125">
        <f t="shared" si="143"/>
        <v>99.354838709677423</v>
      </c>
      <c r="AK58" s="125">
        <f t="shared" si="130"/>
        <v>73.92</v>
      </c>
      <c r="AL58" s="162"/>
      <c r="AN58" s="123"/>
      <c r="AO58" s="123"/>
      <c r="AP58" s="124">
        <v>1.05</v>
      </c>
      <c r="AQ58" s="125">
        <f t="shared" si="144"/>
        <v>124.19354838709678</v>
      </c>
      <c r="AR58" s="125">
        <f t="shared" si="131"/>
        <v>92.4</v>
      </c>
      <c r="AS58" s="124">
        <v>0.32</v>
      </c>
      <c r="AT58" s="125">
        <f t="shared" si="145"/>
        <v>37.8494623655914</v>
      </c>
      <c r="AU58" s="125">
        <f t="shared" si="132"/>
        <v>28.16</v>
      </c>
      <c r="AV58" s="124">
        <v>0.67</v>
      </c>
      <c r="AW58" s="125">
        <f t="shared" si="146"/>
        <v>79.247311827956992</v>
      </c>
      <c r="AX58" s="125">
        <f t="shared" si="133"/>
        <v>58.96</v>
      </c>
      <c r="AY58" s="124">
        <v>0.67</v>
      </c>
      <c r="AZ58" s="125">
        <f t="shared" si="147"/>
        <v>79.247311827956992</v>
      </c>
      <c r="BA58" s="125">
        <f t="shared" si="134"/>
        <v>58.96</v>
      </c>
      <c r="BD58" s="139">
        <f t="shared" si="148"/>
        <v>136.61290322580646</v>
      </c>
      <c r="BE58" s="139">
        <f t="shared" si="149"/>
        <v>101.64</v>
      </c>
      <c r="BF58" s="139">
        <f t="shared" si="150"/>
        <v>49.086021505376351</v>
      </c>
      <c r="BG58" s="139">
        <f t="shared" si="151"/>
        <v>36.520000000000003</v>
      </c>
      <c r="BH58" s="139">
        <f t="shared" si="152"/>
        <v>96.397849462365599</v>
      </c>
      <c r="BI58" s="139">
        <f t="shared" si="153"/>
        <v>71.72</v>
      </c>
      <c r="BJ58" s="139">
        <f t="shared" si="154"/>
        <v>96.397849462365599</v>
      </c>
      <c r="BK58" s="139">
        <f t="shared" si="155"/>
        <v>71.72</v>
      </c>
    </row>
    <row r="59" spans="1:63" ht="14.4">
      <c r="A59" s="126" t="s">
        <v>58</v>
      </c>
      <c r="B59" s="118">
        <v>30</v>
      </c>
      <c r="C59" s="118">
        <f t="shared" si="135"/>
        <v>720</v>
      </c>
      <c r="D59" s="122">
        <f t="shared" si="122"/>
        <v>188.88888888888889</v>
      </c>
      <c r="E59" s="118">
        <v>136</v>
      </c>
      <c r="H59" s="123"/>
      <c r="J59" s="124">
        <v>1.1000000000000001</v>
      </c>
      <c r="K59" s="125">
        <f t="shared" si="123"/>
        <v>207.7777777777778</v>
      </c>
      <c r="L59" s="125">
        <f t="shared" si="136"/>
        <v>149.60000000000002</v>
      </c>
      <c r="M59" s="124">
        <v>0.68</v>
      </c>
      <c r="N59" s="125">
        <f t="shared" si="124"/>
        <v>128.44444444444446</v>
      </c>
      <c r="O59" s="125">
        <f t="shared" si="137"/>
        <v>92.48</v>
      </c>
      <c r="P59" s="124">
        <v>0.94</v>
      </c>
      <c r="Q59" s="125">
        <f t="shared" si="125"/>
        <v>177.55555555555554</v>
      </c>
      <c r="R59" s="125">
        <f t="shared" si="138"/>
        <v>127.83999999999999</v>
      </c>
      <c r="S59" s="124">
        <v>0.94</v>
      </c>
      <c r="T59" s="125">
        <f t="shared" si="126"/>
        <v>177.55555555555554</v>
      </c>
      <c r="U59" s="125">
        <f t="shared" si="139"/>
        <v>127.83999999999999</v>
      </c>
      <c r="X59" s="123"/>
      <c r="Y59" s="123"/>
      <c r="Z59" s="124">
        <v>0.99</v>
      </c>
      <c r="AA59" s="125">
        <f>Z59*$D59</f>
        <v>187</v>
      </c>
      <c r="AB59" s="125">
        <f t="shared" si="127"/>
        <v>134.63999999999999</v>
      </c>
      <c r="AC59" s="124">
        <v>0.33</v>
      </c>
      <c r="AD59" s="125">
        <f>AC59*$D59</f>
        <v>62.333333333333336</v>
      </c>
      <c r="AE59" s="125">
        <f t="shared" si="128"/>
        <v>44.88</v>
      </c>
      <c r="AF59" s="124">
        <v>0.8</v>
      </c>
      <c r="AG59" s="125">
        <f>AF59*$D59</f>
        <v>151.11111111111111</v>
      </c>
      <c r="AH59" s="125">
        <f t="shared" si="129"/>
        <v>108.80000000000001</v>
      </c>
      <c r="AI59" s="124">
        <v>0.8</v>
      </c>
      <c r="AJ59" s="125">
        <f>AI59*$D59</f>
        <v>151.11111111111111</v>
      </c>
      <c r="AK59" s="125">
        <f t="shared" si="130"/>
        <v>108.80000000000001</v>
      </c>
      <c r="AL59" s="162"/>
      <c r="AN59" s="123"/>
      <c r="AO59" s="123"/>
      <c r="AP59" s="124">
        <v>0.71</v>
      </c>
      <c r="AQ59" s="125">
        <f>AP59*$D59</f>
        <v>134.11111111111111</v>
      </c>
      <c r="AR59" s="125">
        <f t="shared" si="131"/>
        <v>96.56</v>
      </c>
      <c r="AS59" s="124">
        <v>0.28000000000000003</v>
      </c>
      <c r="AT59" s="125">
        <f>AS59*$D59</f>
        <v>52.888888888888893</v>
      </c>
      <c r="AU59" s="125">
        <f t="shared" si="132"/>
        <v>38.080000000000005</v>
      </c>
      <c r="AV59" s="124">
        <v>0.59</v>
      </c>
      <c r="AW59" s="125">
        <f>AV59*$D59</f>
        <v>111.44444444444444</v>
      </c>
      <c r="AX59" s="125">
        <f t="shared" si="133"/>
        <v>80.239999999999995</v>
      </c>
      <c r="AY59" s="124">
        <v>0.59</v>
      </c>
      <c r="AZ59" s="125">
        <f>AY59*$D59</f>
        <v>111.44444444444444</v>
      </c>
      <c r="BA59" s="125">
        <f t="shared" si="134"/>
        <v>80.239999999999995</v>
      </c>
      <c r="BD59" s="139">
        <f t="shared" si="148"/>
        <v>170.94444444444446</v>
      </c>
      <c r="BE59" s="139">
        <f t="shared" si="149"/>
        <v>123.08000000000001</v>
      </c>
      <c r="BF59" s="139">
        <f t="shared" si="150"/>
        <v>90.666666666666671</v>
      </c>
      <c r="BG59" s="139">
        <f t="shared" si="151"/>
        <v>65.28</v>
      </c>
      <c r="BH59" s="139">
        <f t="shared" si="152"/>
        <v>144.5</v>
      </c>
      <c r="BI59" s="139">
        <f t="shared" si="153"/>
        <v>104.03999999999999</v>
      </c>
      <c r="BJ59" s="139">
        <f t="shared" si="154"/>
        <v>144.5</v>
      </c>
      <c r="BK59" s="139">
        <f t="shared" si="155"/>
        <v>104.03999999999999</v>
      </c>
    </row>
    <row r="60" spans="1:63" ht="14.4">
      <c r="A60" s="126" t="s">
        <v>183</v>
      </c>
      <c r="B60" s="118">
        <v>31</v>
      </c>
      <c r="C60" s="118">
        <f t="shared" si="135"/>
        <v>744</v>
      </c>
      <c r="D60" s="122">
        <f t="shared" si="122"/>
        <v>224.46236559139786</v>
      </c>
      <c r="E60" s="118">
        <v>167</v>
      </c>
      <c r="H60" s="123"/>
      <c r="I60" s="117" t="s">
        <v>245</v>
      </c>
      <c r="J60" s="124">
        <v>1.01</v>
      </c>
      <c r="K60" s="125">
        <f t="shared" si="123"/>
        <v>226.70698924731184</v>
      </c>
      <c r="L60" s="125">
        <f t="shared" si="136"/>
        <v>168.67</v>
      </c>
      <c r="M60" s="124">
        <v>0.79</v>
      </c>
      <c r="N60" s="125">
        <f t="shared" si="124"/>
        <v>177.32526881720432</v>
      </c>
      <c r="O60" s="125">
        <f t="shared" si="137"/>
        <v>131.93</v>
      </c>
      <c r="P60" s="124">
        <v>0.94</v>
      </c>
      <c r="Q60" s="125">
        <f t="shared" si="125"/>
        <v>210.99462365591398</v>
      </c>
      <c r="R60" s="125">
        <f t="shared" si="138"/>
        <v>156.97999999999999</v>
      </c>
      <c r="S60" s="124">
        <v>0.94</v>
      </c>
      <c r="T60" s="125">
        <f t="shared" si="126"/>
        <v>210.99462365591398</v>
      </c>
      <c r="U60" s="125">
        <f t="shared" si="139"/>
        <v>156.97999999999999</v>
      </c>
      <c r="W60" s="117" t="s">
        <v>245</v>
      </c>
      <c r="X60" s="123"/>
      <c r="Y60" s="123"/>
      <c r="Z60" s="124">
        <v>0.84</v>
      </c>
      <c r="AA60" s="125">
        <f t="shared" ref="AA60:AA67" si="156">Z60*$D60</f>
        <v>188.54838709677418</v>
      </c>
      <c r="AB60" s="125">
        <f t="shared" si="127"/>
        <v>140.28</v>
      </c>
      <c r="AC60" s="124">
        <v>0.39</v>
      </c>
      <c r="AD60" s="125">
        <f t="shared" ref="AD60:AD67" si="157">AC60*$D60</f>
        <v>87.540322580645167</v>
      </c>
      <c r="AE60" s="125">
        <f t="shared" si="128"/>
        <v>65.13</v>
      </c>
      <c r="AF60" s="124">
        <v>0.79</v>
      </c>
      <c r="AG60" s="125">
        <f t="shared" ref="AG60:AG67" si="158">AF60*$D60</f>
        <v>177.32526881720432</v>
      </c>
      <c r="AH60" s="125">
        <f t="shared" si="129"/>
        <v>131.93</v>
      </c>
      <c r="AI60" s="124">
        <v>0.79</v>
      </c>
      <c r="AJ60" s="125">
        <f t="shared" ref="AJ60:AJ67" si="159">AI60*$D60</f>
        <v>177.32526881720432</v>
      </c>
      <c r="AK60" s="125">
        <f t="shared" si="130"/>
        <v>131.93</v>
      </c>
      <c r="AL60" s="162"/>
      <c r="AM60" s="117" t="s">
        <v>245</v>
      </c>
      <c r="AN60" s="123"/>
      <c r="AO60" s="123"/>
      <c r="AP60" s="124">
        <v>0.55000000000000004</v>
      </c>
      <c r="AQ60" s="125">
        <f t="shared" si="144"/>
        <v>123.45430107526883</v>
      </c>
      <c r="AR60" s="125">
        <f t="shared" si="131"/>
        <v>91.850000000000009</v>
      </c>
      <c r="AS60" s="124">
        <v>0.3</v>
      </c>
      <c r="AT60" s="125">
        <f t="shared" si="145"/>
        <v>67.338709677419359</v>
      </c>
      <c r="AU60" s="125">
        <f t="shared" si="132"/>
        <v>50.1</v>
      </c>
      <c r="AV60" s="124">
        <v>0.56999999999999995</v>
      </c>
      <c r="AW60" s="125">
        <f t="shared" si="146"/>
        <v>127.94354838709677</v>
      </c>
      <c r="AX60" s="125">
        <f t="shared" si="133"/>
        <v>95.19</v>
      </c>
      <c r="AY60" s="124">
        <v>0.56999999999999995</v>
      </c>
      <c r="AZ60" s="125">
        <f t="shared" si="147"/>
        <v>127.94354838709677</v>
      </c>
      <c r="BA60" s="125">
        <f t="shared" si="134"/>
        <v>95.19</v>
      </c>
      <c r="BC60" s="117" t="s">
        <v>245</v>
      </c>
      <c r="BD60" s="139">
        <f t="shared" si="148"/>
        <v>175.08064516129033</v>
      </c>
      <c r="BE60" s="139">
        <f t="shared" si="149"/>
        <v>130.26</v>
      </c>
      <c r="BF60" s="139">
        <f t="shared" si="150"/>
        <v>122.33198924731184</v>
      </c>
      <c r="BG60" s="139">
        <f t="shared" si="151"/>
        <v>91.015000000000001</v>
      </c>
      <c r="BH60" s="139">
        <f t="shared" si="152"/>
        <v>169.46908602150538</v>
      </c>
      <c r="BI60" s="139">
        <f t="shared" si="153"/>
        <v>126.08499999999999</v>
      </c>
      <c r="BJ60" s="139">
        <f t="shared" si="154"/>
        <v>169.46908602150538</v>
      </c>
      <c r="BK60" s="139">
        <f t="shared" si="155"/>
        <v>126.08499999999999</v>
      </c>
    </row>
    <row r="61" spans="1:63" ht="14.4">
      <c r="A61" s="126" t="s">
        <v>184</v>
      </c>
      <c r="B61" s="118">
        <v>30</v>
      </c>
      <c r="C61" s="118">
        <f t="shared" si="135"/>
        <v>720</v>
      </c>
      <c r="D61" s="122">
        <f t="shared" si="122"/>
        <v>251.38888888888889</v>
      </c>
      <c r="E61" s="118">
        <v>181</v>
      </c>
      <c r="H61" s="123"/>
      <c r="I61" s="117" t="s">
        <v>182</v>
      </c>
      <c r="J61" s="124">
        <v>0.97</v>
      </c>
      <c r="K61" s="125">
        <f t="shared" si="123"/>
        <v>243.8472222222222</v>
      </c>
      <c r="L61" s="125">
        <f t="shared" si="136"/>
        <v>175.57</v>
      </c>
      <c r="M61" s="124">
        <v>0.82</v>
      </c>
      <c r="N61" s="125">
        <f t="shared" si="124"/>
        <v>206.13888888888889</v>
      </c>
      <c r="O61" s="125">
        <f t="shared" si="137"/>
        <v>148.41999999999999</v>
      </c>
      <c r="P61" s="124">
        <v>0.93</v>
      </c>
      <c r="Q61" s="125">
        <f t="shared" si="125"/>
        <v>233.79166666666669</v>
      </c>
      <c r="R61" s="125">
        <f t="shared" si="138"/>
        <v>168.33</v>
      </c>
      <c r="S61" s="124">
        <v>0.93</v>
      </c>
      <c r="T61" s="125">
        <f t="shared" si="126"/>
        <v>233.79166666666669</v>
      </c>
      <c r="U61" s="125">
        <f t="shared" si="139"/>
        <v>168.33</v>
      </c>
      <c r="W61" s="117" t="s">
        <v>182</v>
      </c>
      <c r="X61" s="123"/>
      <c r="Y61" s="123"/>
      <c r="Z61" s="124">
        <v>0.78</v>
      </c>
      <c r="AA61" s="125">
        <f t="shared" si="156"/>
        <v>196.08333333333334</v>
      </c>
      <c r="AB61" s="125">
        <f t="shared" si="127"/>
        <v>141.18</v>
      </c>
      <c r="AC61" s="124">
        <v>0.45</v>
      </c>
      <c r="AD61" s="125">
        <f t="shared" si="157"/>
        <v>113.125</v>
      </c>
      <c r="AE61" s="125">
        <f t="shared" si="128"/>
        <v>81.45</v>
      </c>
      <c r="AF61" s="124">
        <v>0.78</v>
      </c>
      <c r="AG61" s="125">
        <f t="shared" si="158"/>
        <v>196.08333333333334</v>
      </c>
      <c r="AH61" s="125">
        <f t="shared" si="129"/>
        <v>141.18</v>
      </c>
      <c r="AI61" s="124">
        <v>0.78</v>
      </c>
      <c r="AJ61" s="125">
        <f t="shared" si="159"/>
        <v>196.08333333333334</v>
      </c>
      <c r="AK61" s="125">
        <f t="shared" si="130"/>
        <v>141.18</v>
      </c>
      <c r="AL61" s="162"/>
      <c r="AM61" s="117" t="s">
        <v>182</v>
      </c>
      <c r="AN61" s="123"/>
      <c r="AO61" s="123"/>
      <c r="AP61" s="124">
        <v>0.49</v>
      </c>
      <c r="AQ61" s="125">
        <f t="shared" si="144"/>
        <v>123.18055555555556</v>
      </c>
      <c r="AR61" s="125">
        <f t="shared" si="131"/>
        <v>88.69</v>
      </c>
      <c r="AS61" s="124">
        <v>0.31</v>
      </c>
      <c r="AT61" s="125">
        <f t="shared" si="145"/>
        <v>77.930555555555557</v>
      </c>
      <c r="AU61" s="125">
        <f t="shared" si="132"/>
        <v>56.11</v>
      </c>
      <c r="AV61" s="124">
        <v>0.55000000000000004</v>
      </c>
      <c r="AW61" s="125">
        <f t="shared" si="146"/>
        <v>138.26388888888889</v>
      </c>
      <c r="AX61" s="125">
        <f t="shared" si="133"/>
        <v>99.550000000000011</v>
      </c>
      <c r="AY61" s="124">
        <v>0.55000000000000004</v>
      </c>
      <c r="AZ61" s="125">
        <f t="shared" si="147"/>
        <v>138.26388888888889</v>
      </c>
      <c r="BA61" s="125">
        <f t="shared" si="134"/>
        <v>99.550000000000011</v>
      </c>
      <c r="BC61" s="117" t="s">
        <v>182</v>
      </c>
      <c r="BD61" s="139">
        <f t="shared" si="148"/>
        <v>183.51388888888889</v>
      </c>
      <c r="BE61" s="139">
        <f t="shared" si="149"/>
        <v>132.13</v>
      </c>
      <c r="BF61" s="139">
        <f t="shared" si="150"/>
        <v>142.03472222222223</v>
      </c>
      <c r="BG61" s="139">
        <f t="shared" si="151"/>
        <v>102.26499999999999</v>
      </c>
      <c r="BH61" s="139">
        <f t="shared" si="152"/>
        <v>186.02777777777777</v>
      </c>
      <c r="BI61" s="139">
        <f t="shared" si="153"/>
        <v>133.94</v>
      </c>
      <c r="BJ61" s="139">
        <f t="shared" si="154"/>
        <v>186.02777777777777</v>
      </c>
      <c r="BK61" s="139">
        <f>(U61+BA61)/2</f>
        <v>133.94</v>
      </c>
    </row>
    <row r="62" spans="1:63" ht="14.4">
      <c r="A62" s="126" t="s">
        <v>185</v>
      </c>
      <c r="B62" s="118">
        <v>31</v>
      </c>
      <c r="C62" s="118">
        <f t="shared" si="135"/>
        <v>744</v>
      </c>
      <c r="D62" s="122">
        <f t="shared" si="122"/>
        <v>233.87096774193549</v>
      </c>
      <c r="E62" s="118">
        <v>174</v>
      </c>
      <c r="H62" s="123"/>
      <c r="J62" s="124">
        <v>0.98</v>
      </c>
      <c r="K62" s="125">
        <f t="shared" si="123"/>
        <v>229.19354838709677</v>
      </c>
      <c r="L62" s="125">
        <f t="shared" si="136"/>
        <v>170.52</v>
      </c>
      <c r="M62" s="124">
        <v>0.81</v>
      </c>
      <c r="N62" s="125">
        <f t="shared" si="124"/>
        <v>189.43548387096774</v>
      </c>
      <c r="O62" s="125">
        <f t="shared" si="137"/>
        <v>140.94</v>
      </c>
      <c r="P62" s="124">
        <v>0.93</v>
      </c>
      <c r="Q62" s="125">
        <f t="shared" si="125"/>
        <v>217.50000000000003</v>
      </c>
      <c r="R62" s="125">
        <f t="shared" si="138"/>
        <v>161.82000000000002</v>
      </c>
      <c r="S62" s="124">
        <v>0.93</v>
      </c>
      <c r="T62" s="125">
        <f t="shared" si="126"/>
        <v>217.50000000000003</v>
      </c>
      <c r="U62" s="125">
        <f t="shared" si="139"/>
        <v>161.82000000000002</v>
      </c>
      <c r="X62" s="123"/>
      <c r="Y62" s="123"/>
      <c r="Z62" s="124">
        <v>0.81</v>
      </c>
      <c r="AA62" s="125">
        <f t="shared" si="156"/>
        <v>189.43548387096774</v>
      </c>
      <c r="AB62" s="125">
        <f t="shared" si="127"/>
        <v>140.94</v>
      </c>
      <c r="AC62" s="124">
        <v>0.42</v>
      </c>
      <c r="AD62" s="125">
        <f t="shared" si="157"/>
        <v>98.225806451612897</v>
      </c>
      <c r="AE62" s="125">
        <f t="shared" si="128"/>
        <v>73.08</v>
      </c>
      <c r="AF62" s="124">
        <v>0.78</v>
      </c>
      <c r="AG62" s="125">
        <f t="shared" si="158"/>
        <v>182.41935483870969</v>
      </c>
      <c r="AH62" s="125">
        <f t="shared" si="129"/>
        <v>135.72</v>
      </c>
      <c r="AI62" s="124">
        <v>0.78</v>
      </c>
      <c r="AJ62" s="125">
        <f t="shared" si="159"/>
        <v>182.41935483870969</v>
      </c>
      <c r="AK62" s="125">
        <f t="shared" si="130"/>
        <v>135.72</v>
      </c>
      <c r="AL62" s="162"/>
      <c r="AN62" s="123"/>
      <c r="AO62" s="123"/>
      <c r="AP62" s="124">
        <v>0.51</v>
      </c>
      <c r="AQ62" s="125">
        <f t="shared" si="144"/>
        <v>119.2741935483871</v>
      </c>
      <c r="AR62" s="125">
        <f t="shared" si="131"/>
        <v>88.74</v>
      </c>
      <c r="AS62" s="124">
        <v>0.3</v>
      </c>
      <c r="AT62" s="125">
        <f t="shared" si="145"/>
        <v>70.161290322580641</v>
      </c>
      <c r="AU62" s="125">
        <f t="shared" si="132"/>
        <v>52.199999999999996</v>
      </c>
      <c r="AV62" s="124">
        <v>0.55000000000000004</v>
      </c>
      <c r="AW62" s="125">
        <f t="shared" si="146"/>
        <v>128.62903225806454</v>
      </c>
      <c r="AX62" s="125">
        <f t="shared" si="133"/>
        <v>95.7</v>
      </c>
      <c r="AY62" s="124">
        <v>0.55000000000000004</v>
      </c>
      <c r="AZ62" s="125">
        <f t="shared" si="147"/>
        <v>128.62903225806454</v>
      </c>
      <c r="BA62" s="125">
        <f t="shared" si="134"/>
        <v>95.7</v>
      </c>
      <c r="BD62" s="139">
        <f t="shared" si="148"/>
        <v>174.23387096774195</v>
      </c>
      <c r="BE62" s="139">
        <f t="shared" si="149"/>
        <v>129.63</v>
      </c>
      <c r="BF62" s="139">
        <f t="shared" si="150"/>
        <v>129.79838709677421</v>
      </c>
      <c r="BG62" s="139">
        <f t="shared" si="151"/>
        <v>96.57</v>
      </c>
      <c r="BH62" s="139">
        <f t="shared" si="152"/>
        <v>173.06451612903228</v>
      </c>
      <c r="BI62" s="139">
        <f t="shared" si="153"/>
        <v>128.76000000000002</v>
      </c>
      <c r="BJ62" s="139">
        <f t="shared" si="154"/>
        <v>173.06451612903228</v>
      </c>
      <c r="BK62" s="139">
        <f t="shared" ref="BK62:BK63" si="160">(U62+BA62)/2</f>
        <v>128.76000000000002</v>
      </c>
    </row>
    <row r="63" spans="1:63" ht="14.4">
      <c r="A63" s="126" t="s">
        <v>186</v>
      </c>
      <c r="B63" s="118">
        <v>31</v>
      </c>
      <c r="C63" s="118">
        <f t="shared" si="135"/>
        <v>744</v>
      </c>
      <c r="D63" s="122">
        <f t="shared" si="122"/>
        <v>202.95698924731184</v>
      </c>
      <c r="E63" s="118">
        <v>151</v>
      </c>
      <c r="H63" s="123"/>
      <c r="J63" s="124">
        <v>1.05</v>
      </c>
      <c r="K63" s="125">
        <f t="shared" si="123"/>
        <v>213.10483870967744</v>
      </c>
      <c r="L63" s="125">
        <f t="shared" si="136"/>
        <v>158.55000000000001</v>
      </c>
      <c r="M63" s="124">
        <v>0.73</v>
      </c>
      <c r="N63" s="125">
        <f t="shared" si="124"/>
        <v>148.15860215053763</v>
      </c>
      <c r="O63" s="125">
        <f t="shared" si="137"/>
        <v>110.23</v>
      </c>
      <c r="P63" s="124">
        <v>0.93</v>
      </c>
      <c r="Q63" s="125">
        <f t="shared" si="125"/>
        <v>188.75000000000003</v>
      </c>
      <c r="R63" s="125">
        <f t="shared" si="138"/>
        <v>140.43</v>
      </c>
      <c r="S63" s="124">
        <v>0.93</v>
      </c>
      <c r="T63" s="125">
        <f t="shared" si="126"/>
        <v>188.75000000000003</v>
      </c>
      <c r="U63" s="125">
        <f t="shared" si="139"/>
        <v>140.43</v>
      </c>
      <c r="X63" s="123"/>
      <c r="Y63" s="123"/>
      <c r="Z63" s="124">
        <v>0.91</v>
      </c>
      <c r="AA63" s="125">
        <f t="shared" si="156"/>
        <v>184.69086021505379</v>
      </c>
      <c r="AB63" s="125">
        <f t="shared" si="127"/>
        <v>137.41</v>
      </c>
      <c r="AC63" s="124">
        <v>0.34</v>
      </c>
      <c r="AD63" s="125">
        <f t="shared" si="157"/>
        <v>69.005376344086031</v>
      </c>
      <c r="AE63" s="125">
        <f t="shared" si="128"/>
        <v>51.34</v>
      </c>
      <c r="AF63" s="124">
        <v>0.79</v>
      </c>
      <c r="AG63" s="125">
        <f t="shared" si="158"/>
        <v>160.33602150537635</v>
      </c>
      <c r="AH63" s="125">
        <f t="shared" si="129"/>
        <v>119.29</v>
      </c>
      <c r="AI63" s="124">
        <v>0.79</v>
      </c>
      <c r="AJ63" s="125">
        <f t="shared" si="159"/>
        <v>160.33602150537635</v>
      </c>
      <c r="AK63" s="125">
        <f t="shared" si="130"/>
        <v>119.29</v>
      </c>
      <c r="AL63" s="162"/>
      <c r="AN63" s="123"/>
      <c r="AO63" s="123"/>
      <c r="AP63" s="124">
        <v>0.62</v>
      </c>
      <c r="AQ63" s="125">
        <f t="shared" si="144"/>
        <v>125.83333333333334</v>
      </c>
      <c r="AR63" s="125">
        <f t="shared" si="131"/>
        <v>93.62</v>
      </c>
      <c r="AS63" s="124">
        <v>0.28999999999999998</v>
      </c>
      <c r="AT63" s="125">
        <f t="shared" si="145"/>
        <v>58.857526881720432</v>
      </c>
      <c r="AU63" s="125">
        <f t="shared" si="132"/>
        <v>43.79</v>
      </c>
      <c r="AV63" s="124">
        <v>0.57999999999999996</v>
      </c>
      <c r="AW63" s="125">
        <f t="shared" si="146"/>
        <v>117.71505376344086</v>
      </c>
      <c r="AX63" s="125">
        <f t="shared" si="133"/>
        <v>87.58</v>
      </c>
      <c r="AY63" s="124">
        <v>0.57999999999999996</v>
      </c>
      <c r="AZ63" s="125">
        <f t="shared" si="147"/>
        <v>117.71505376344086</v>
      </c>
      <c r="BA63" s="125">
        <f t="shared" si="134"/>
        <v>87.58</v>
      </c>
      <c r="BD63" s="139">
        <f t="shared" si="148"/>
        <v>169.4690860215054</v>
      </c>
      <c r="BE63" s="139">
        <f>(L63+AR63)/2</f>
        <v>126.08500000000001</v>
      </c>
      <c r="BF63" s="139">
        <f t="shared" si="150"/>
        <v>103.50806451612902</v>
      </c>
      <c r="BG63" s="139">
        <f>(O63+AU63)/2</f>
        <v>77.010000000000005</v>
      </c>
      <c r="BH63" s="139">
        <f t="shared" si="152"/>
        <v>153.23252688172045</v>
      </c>
      <c r="BI63" s="139">
        <f t="shared" si="153"/>
        <v>114.005</v>
      </c>
      <c r="BJ63" s="139">
        <f t="shared" si="154"/>
        <v>153.23252688172045</v>
      </c>
      <c r="BK63" s="139">
        <f t="shared" si="160"/>
        <v>114.005</v>
      </c>
    </row>
    <row r="64" spans="1:63" ht="14.4">
      <c r="A64" s="126" t="s">
        <v>187</v>
      </c>
      <c r="B64" s="118">
        <v>30</v>
      </c>
      <c r="C64" s="118">
        <f t="shared" si="135"/>
        <v>720</v>
      </c>
      <c r="D64" s="122">
        <f t="shared" si="122"/>
        <v>154.16666666666666</v>
      </c>
      <c r="E64" s="118">
        <v>111</v>
      </c>
      <c r="H64" s="123"/>
      <c r="J64" s="124">
        <v>1.18</v>
      </c>
      <c r="K64" s="125">
        <f t="shared" si="123"/>
        <v>181.91666666666666</v>
      </c>
      <c r="L64" s="125">
        <f t="shared" si="136"/>
        <v>130.97999999999999</v>
      </c>
      <c r="M64" s="124">
        <v>0.57999999999999996</v>
      </c>
      <c r="N64" s="125">
        <f t="shared" si="124"/>
        <v>89.416666666666657</v>
      </c>
      <c r="O64" s="125">
        <f t="shared" si="137"/>
        <v>64.38</v>
      </c>
      <c r="P64" s="124">
        <v>0.95</v>
      </c>
      <c r="Q64" s="125">
        <f t="shared" si="125"/>
        <v>146.45833333333331</v>
      </c>
      <c r="R64" s="125">
        <f t="shared" si="138"/>
        <v>105.44999999999999</v>
      </c>
      <c r="S64" s="124">
        <v>0.95</v>
      </c>
      <c r="T64" s="125">
        <f t="shared" si="126"/>
        <v>146.45833333333331</v>
      </c>
      <c r="U64" s="125">
        <f t="shared" si="139"/>
        <v>105.44999999999999</v>
      </c>
      <c r="X64" s="123"/>
      <c r="Y64" s="123"/>
      <c r="Z64" s="124">
        <v>1.1200000000000001</v>
      </c>
      <c r="AA64" s="125">
        <f t="shared" si="156"/>
        <v>172.66666666666669</v>
      </c>
      <c r="AB64" s="125">
        <f t="shared" si="127"/>
        <v>124.32000000000001</v>
      </c>
      <c r="AC64" s="124">
        <v>0.3</v>
      </c>
      <c r="AD64" s="125">
        <f t="shared" si="157"/>
        <v>46.249999999999993</v>
      </c>
      <c r="AE64" s="125">
        <f t="shared" si="128"/>
        <v>33.299999999999997</v>
      </c>
      <c r="AF64" s="124">
        <v>0.81</v>
      </c>
      <c r="AG64" s="125">
        <f t="shared" si="158"/>
        <v>124.875</v>
      </c>
      <c r="AH64" s="125">
        <f t="shared" si="129"/>
        <v>89.910000000000011</v>
      </c>
      <c r="AI64" s="124">
        <v>0.81</v>
      </c>
      <c r="AJ64" s="125">
        <f t="shared" si="159"/>
        <v>124.875</v>
      </c>
      <c r="AK64" s="125">
        <f t="shared" si="130"/>
        <v>89.910000000000011</v>
      </c>
      <c r="AL64" s="162"/>
      <c r="AN64" s="123"/>
      <c r="AO64" s="123"/>
      <c r="AP64" s="124">
        <v>0.85</v>
      </c>
      <c r="AQ64" s="125">
        <f t="shared" si="144"/>
        <v>131.04166666666666</v>
      </c>
      <c r="AR64" s="125">
        <f t="shared" si="131"/>
        <v>94.35</v>
      </c>
      <c r="AS64" s="124">
        <v>0.27</v>
      </c>
      <c r="AT64" s="125">
        <f t="shared" si="145"/>
        <v>41.625</v>
      </c>
      <c r="AU64" s="125">
        <f t="shared" si="132"/>
        <v>29.970000000000002</v>
      </c>
      <c r="AV64" s="124">
        <v>0.6</v>
      </c>
      <c r="AW64" s="125">
        <f t="shared" si="146"/>
        <v>92.499999999999986</v>
      </c>
      <c r="AX64" s="125">
        <f t="shared" si="133"/>
        <v>66.599999999999994</v>
      </c>
      <c r="AY64" s="124">
        <v>0.6</v>
      </c>
      <c r="AZ64" s="125">
        <f t="shared" si="147"/>
        <v>92.499999999999986</v>
      </c>
      <c r="BA64" s="125">
        <f t="shared" si="134"/>
        <v>66.599999999999994</v>
      </c>
      <c r="BD64" s="139">
        <f t="shared" si="148"/>
        <v>156.47916666666666</v>
      </c>
      <c r="BE64" s="139">
        <f t="shared" ref="BE64:BE67" si="161">(L64+AR64)/2</f>
        <v>112.66499999999999</v>
      </c>
      <c r="BF64" s="139">
        <f t="shared" si="150"/>
        <v>65.520833333333329</v>
      </c>
      <c r="BG64" s="139">
        <f t="shared" ref="BG64:BG67" si="162">(O64+AU64)/2</f>
        <v>47.174999999999997</v>
      </c>
      <c r="BH64" s="139">
        <f t="shared" si="152"/>
        <v>119.47916666666666</v>
      </c>
      <c r="BI64" s="139">
        <f t="shared" si="153"/>
        <v>86.024999999999991</v>
      </c>
      <c r="BJ64" s="139">
        <f t="shared" si="154"/>
        <v>119.47916666666666</v>
      </c>
      <c r="BK64" s="139">
        <f>(U64+BA64)/2</f>
        <v>86.024999999999991</v>
      </c>
    </row>
    <row r="65" spans="1:63" ht="14.4">
      <c r="A65" s="126" t="s">
        <v>59</v>
      </c>
      <c r="B65" s="118">
        <v>31</v>
      </c>
      <c r="C65" s="118">
        <f t="shared" si="135"/>
        <v>744</v>
      </c>
      <c r="D65" s="122">
        <f t="shared" si="122"/>
        <v>86.021505376344081</v>
      </c>
      <c r="E65" s="118">
        <v>64</v>
      </c>
      <c r="H65" s="123"/>
      <c r="J65" s="124">
        <v>1.35</v>
      </c>
      <c r="K65" s="125">
        <f t="shared" si="123"/>
        <v>116.12903225806451</v>
      </c>
      <c r="L65" s="125">
        <f t="shared" si="136"/>
        <v>86.4</v>
      </c>
      <c r="M65" s="124">
        <v>0.43</v>
      </c>
      <c r="N65" s="125">
        <f t="shared" si="124"/>
        <v>36.989247311827953</v>
      </c>
      <c r="O65" s="125">
        <f t="shared" si="137"/>
        <v>27.52</v>
      </c>
      <c r="P65" s="124">
        <v>0.96</v>
      </c>
      <c r="Q65" s="125">
        <f t="shared" si="125"/>
        <v>82.58064516129032</v>
      </c>
      <c r="R65" s="125">
        <f t="shared" si="138"/>
        <v>61.44</v>
      </c>
      <c r="S65" s="124">
        <v>0.96</v>
      </c>
      <c r="T65" s="125">
        <f t="shared" si="126"/>
        <v>82.58064516129032</v>
      </c>
      <c r="U65" s="125">
        <f t="shared" si="139"/>
        <v>61.44</v>
      </c>
      <c r="X65" s="123"/>
      <c r="Y65" s="123"/>
      <c r="Z65" s="124">
        <v>1.43</v>
      </c>
      <c r="AA65" s="125">
        <f t="shared" si="156"/>
        <v>123.01075268817203</v>
      </c>
      <c r="AB65" s="125">
        <f t="shared" si="127"/>
        <v>91.52</v>
      </c>
      <c r="AC65" s="124">
        <v>0.33</v>
      </c>
      <c r="AD65" s="125">
        <f t="shared" si="157"/>
        <v>28.387096774193548</v>
      </c>
      <c r="AE65" s="125">
        <f t="shared" si="128"/>
        <v>21.12</v>
      </c>
      <c r="AF65" s="124">
        <v>0.84</v>
      </c>
      <c r="AG65" s="125">
        <f t="shared" si="158"/>
        <v>72.258064516129025</v>
      </c>
      <c r="AH65" s="125">
        <f t="shared" si="129"/>
        <v>53.76</v>
      </c>
      <c r="AI65" s="124">
        <v>0.84</v>
      </c>
      <c r="AJ65" s="125">
        <f t="shared" si="159"/>
        <v>72.258064516129025</v>
      </c>
      <c r="AK65" s="125">
        <f t="shared" si="130"/>
        <v>53.76</v>
      </c>
      <c r="AL65" s="162"/>
      <c r="AN65" s="123"/>
      <c r="AO65" s="123"/>
      <c r="AP65" s="124">
        <v>1.22</v>
      </c>
      <c r="AQ65" s="125">
        <f t="shared" si="144"/>
        <v>104.94623655913978</v>
      </c>
      <c r="AR65" s="125">
        <f t="shared" si="131"/>
        <v>78.08</v>
      </c>
      <c r="AS65" s="124">
        <v>0.28999999999999998</v>
      </c>
      <c r="AT65" s="125">
        <f t="shared" si="145"/>
        <v>24.946236559139781</v>
      </c>
      <c r="AU65" s="125">
        <f t="shared" si="132"/>
        <v>18.559999999999999</v>
      </c>
      <c r="AV65" s="124">
        <v>0.64</v>
      </c>
      <c r="AW65" s="125">
        <f t="shared" si="146"/>
        <v>55.053763440860216</v>
      </c>
      <c r="AX65" s="125">
        <f t="shared" si="133"/>
        <v>40.96</v>
      </c>
      <c r="AY65" s="124">
        <v>0.64</v>
      </c>
      <c r="AZ65" s="125">
        <f t="shared" si="147"/>
        <v>55.053763440860216</v>
      </c>
      <c r="BA65" s="125">
        <f t="shared" si="134"/>
        <v>40.96</v>
      </c>
      <c r="BD65" s="139">
        <f t="shared" si="148"/>
        <v>110.53763440860214</v>
      </c>
      <c r="BE65" s="139">
        <f t="shared" si="161"/>
        <v>82.240000000000009</v>
      </c>
      <c r="BF65" s="139">
        <f t="shared" si="150"/>
        <v>30.967741935483865</v>
      </c>
      <c r="BG65" s="139">
        <f t="shared" si="162"/>
        <v>23.04</v>
      </c>
      <c r="BH65" s="139">
        <f t="shared" si="152"/>
        <v>68.817204301075265</v>
      </c>
      <c r="BI65" s="139">
        <f t="shared" si="153"/>
        <v>51.2</v>
      </c>
      <c r="BJ65" s="139">
        <f t="shared" si="154"/>
        <v>68.817204301075265</v>
      </c>
      <c r="BK65" s="139">
        <f t="shared" ref="BK65:BK67" si="163">(U65+BA65)/2</f>
        <v>51.2</v>
      </c>
    </row>
    <row r="66" spans="1:63" ht="14.4">
      <c r="A66" s="126" t="s">
        <v>60</v>
      </c>
      <c r="B66" s="118">
        <v>30</v>
      </c>
      <c r="C66" s="118">
        <f t="shared" si="135"/>
        <v>720</v>
      </c>
      <c r="D66" s="122">
        <f t="shared" si="122"/>
        <v>41.666666666666664</v>
      </c>
      <c r="E66" s="118">
        <v>30</v>
      </c>
      <c r="H66" s="123"/>
      <c r="J66" s="124">
        <v>1.53</v>
      </c>
      <c r="K66" s="125">
        <f t="shared" si="123"/>
        <v>63.75</v>
      </c>
      <c r="L66" s="125">
        <f t="shared" si="136"/>
        <v>45.9</v>
      </c>
      <c r="M66" s="124">
        <v>0.45</v>
      </c>
      <c r="N66" s="125">
        <f t="shared" si="124"/>
        <v>18.75</v>
      </c>
      <c r="O66" s="125">
        <f t="shared" si="137"/>
        <v>13.5</v>
      </c>
      <c r="P66" s="124">
        <v>0.98</v>
      </c>
      <c r="Q66" s="125">
        <f t="shared" si="125"/>
        <v>40.833333333333329</v>
      </c>
      <c r="R66" s="125">
        <f t="shared" si="138"/>
        <v>29.4</v>
      </c>
      <c r="S66" s="124">
        <v>0.98</v>
      </c>
      <c r="T66" s="125">
        <f t="shared" si="126"/>
        <v>40.833333333333329</v>
      </c>
      <c r="U66" s="125">
        <f t="shared" si="139"/>
        <v>29.4</v>
      </c>
      <c r="X66" s="123"/>
      <c r="Y66" s="123"/>
      <c r="Z66" s="124">
        <v>1.76</v>
      </c>
      <c r="AA66" s="125">
        <f t="shared" si="156"/>
        <v>73.333333333333329</v>
      </c>
      <c r="AB66" s="125">
        <f t="shared" si="127"/>
        <v>52.8</v>
      </c>
      <c r="AC66" s="124">
        <v>0.39</v>
      </c>
      <c r="AD66" s="125">
        <f t="shared" si="157"/>
        <v>16.25</v>
      </c>
      <c r="AE66" s="125">
        <f t="shared" si="128"/>
        <v>11.700000000000001</v>
      </c>
      <c r="AF66" s="124">
        <v>0.85</v>
      </c>
      <c r="AG66" s="125">
        <f t="shared" si="158"/>
        <v>35.416666666666664</v>
      </c>
      <c r="AH66" s="125">
        <f t="shared" si="129"/>
        <v>25.5</v>
      </c>
      <c r="AI66" s="124">
        <v>0.85</v>
      </c>
      <c r="AJ66" s="125">
        <f t="shared" si="159"/>
        <v>35.416666666666664</v>
      </c>
      <c r="AK66" s="125">
        <f t="shared" si="130"/>
        <v>25.5</v>
      </c>
      <c r="AL66" s="162"/>
      <c r="AN66" s="123"/>
      <c r="AO66" s="123"/>
      <c r="AP66" s="124">
        <v>1.62</v>
      </c>
      <c r="AQ66" s="125">
        <f t="shared" si="144"/>
        <v>67.5</v>
      </c>
      <c r="AR66" s="125">
        <f t="shared" si="131"/>
        <v>48.6</v>
      </c>
      <c r="AS66" s="124">
        <v>0.35</v>
      </c>
      <c r="AT66" s="125">
        <f t="shared" si="145"/>
        <v>14.583333333333332</v>
      </c>
      <c r="AU66" s="125">
        <f t="shared" si="132"/>
        <v>10.5</v>
      </c>
      <c r="AV66" s="124">
        <v>0.64</v>
      </c>
      <c r="AW66" s="125">
        <f t="shared" si="146"/>
        <v>26.666666666666664</v>
      </c>
      <c r="AX66" s="125">
        <f t="shared" si="133"/>
        <v>19.2</v>
      </c>
      <c r="AY66" s="124">
        <v>0.64</v>
      </c>
      <c r="AZ66" s="125">
        <f t="shared" si="147"/>
        <v>26.666666666666664</v>
      </c>
      <c r="BA66" s="125">
        <f t="shared" si="134"/>
        <v>19.2</v>
      </c>
      <c r="BD66" s="139">
        <f t="shared" si="148"/>
        <v>65.625</v>
      </c>
      <c r="BE66" s="139">
        <f t="shared" si="161"/>
        <v>47.25</v>
      </c>
      <c r="BF66" s="139">
        <f t="shared" si="150"/>
        <v>16.666666666666664</v>
      </c>
      <c r="BG66" s="139">
        <f t="shared" si="162"/>
        <v>12</v>
      </c>
      <c r="BH66" s="139">
        <f t="shared" si="152"/>
        <v>33.75</v>
      </c>
      <c r="BI66" s="139">
        <f t="shared" si="153"/>
        <v>24.299999999999997</v>
      </c>
      <c r="BJ66" s="139">
        <f t="shared" si="154"/>
        <v>33.75</v>
      </c>
      <c r="BK66" s="139">
        <f t="shared" si="163"/>
        <v>24.299999999999997</v>
      </c>
    </row>
    <row r="67" spans="1:63" ht="15" thickBot="1">
      <c r="A67" s="127" t="s">
        <v>61</v>
      </c>
      <c r="B67" s="118">
        <v>31</v>
      </c>
      <c r="C67" s="118">
        <f t="shared" si="135"/>
        <v>744</v>
      </c>
      <c r="D67" s="122">
        <f t="shared" si="122"/>
        <v>26.881720430107528</v>
      </c>
      <c r="E67" s="118">
        <v>20</v>
      </c>
      <c r="H67" s="123"/>
      <c r="J67" s="124">
        <v>1.81</v>
      </c>
      <c r="K67" s="125">
        <f t="shared" si="123"/>
        <v>48.655913978494624</v>
      </c>
      <c r="L67" s="125">
        <f t="shared" si="136"/>
        <v>36.200000000000003</v>
      </c>
      <c r="M67" s="124">
        <v>0.45</v>
      </c>
      <c r="N67" s="125">
        <f t="shared" si="124"/>
        <v>12.096774193548388</v>
      </c>
      <c r="O67" s="125">
        <f t="shared" si="137"/>
        <v>9</v>
      </c>
      <c r="P67" s="124">
        <v>1</v>
      </c>
      <c r="Q67" s="125">
        <f t="shared" si="125"/>
        <v>26.881720430107528</v>
      </c>
      <c r="R67" s="125">
        <f t="shared" si="138"/>
        <v>20</v>
      </c>
      <c r="S67" s="124">
        <v>1</v>
      </c>
      <c r="T67" s="125">
        <f t="shared" si="126"/>
        <v>26.881720430107528</v>
      </c>
      <c r="U67" s="125">
        <f t="shared" si="139"/>
        <v>20</v>
      </c>
      <c r="X67" s="123"/>
      <c r="Y67" s="123"/>
      <c r="Z67" s="124">
        <v>2.23</v>
      </c>
      <c r="AA67" s="125">
        <f t="shared" si="156"/>
        <v>59.946236559139784</v>
      </c>
      <c r="AB67" s="125">
        <f t="shared" si="127"/>
        <v>44.6</v>
      </c>
      <c r="AC67" s="124">
        <v>0.42</v>
      </c>
      <c r="AD67" s="125">
        <f t="shared" si="157"/>
        <v>11.290322580645162</v>
      </c>
      <c r="AE67" s="125">
        <f t="shared" si="128"/>
        <v>8.4</v>
      </c>
      <c r="AF67" s="124">
        <v>0.9</v>
      </c>
      <c r="AG67" s="125">
        <f t="shared" si="158"/>
        <v>24.193548387096776</v>
      </c>
      <c r="AH67" s="125">
        <f t="shared" si="129"/>
        <v>18</v>
      </c>
      <c r="AI67" s="124">
        <v>0.9</v>
      </c>
      <c r="AJ67" s="125">
        <f t="shared" si="159"/>
        <v>24.193548387096776</v>
      </c>
      <c r="AK67" s="125">
        <f t="shared" si="130"/>
        <v>18</v>
      </c>
      <c r="AL67" s="162"/>
      <c r="AN67" s="123"/>
      <c r="AO67" s="123"/>
      <c r="AP67" s="124">
        <v>2.19</v>
      </c>
      <c r="AQ67" s="125">
        <f t="shared" si="144"/>
        <v>58.870967741935488</v>
      </c>
      <c r="AR67" s="125">
        <f t="shared" si="131"/>
        <v>43.8</v>
      </c>
      <c r="AS67" s="124">
        <v>0.43</v>
      </c>
      <c r="AT67" s="125">
        <f t="shared" si="145"/>
        <v>11.559139784946236</v>
      </c>
      <c r="AU67" s="125">
        <f t="shared" si="132"/>
        <v>8.6</v>
      </c>
      <c r="AV67" s="124">
        <v>0.75</v>
      </c>
      <c r="AW67" s="125">
        <f t="shared" si="146"/>
        <v>20.161290322580648</v>
      </c>
      <c r="AX67" s="125">
        <f t="shared" si="133"/>
        <v>15</v>
      </c>
      <c r="AY67" s="124">
        <v>0.75</v>
      </c>
      <c r="AZ67" s="125">
        <f t="shared" si="147"/>
        <v>20.161290322580648</v>
      </c>
      <c r="BA67" s="125">
        <f t="shared" si="134"/>
        <v>15</v>
      </c>
      <c r="BD67" s="139">
        <f t="shared" si="148"/>
        <v>53.763440860215056</v>
      </c>
      <c r="BE67" s="139">
        <f t="shared" si="161"/>
        <v>40</v>
      </c>
      <c r="BF67" s="139">
        <f t="shared" si="150"/>
        <v>11.827956989247312</v>
      </c>
      <c r="BG67" s="139">
        <f t="shared" si="162"/>
        <v>8.8000000000000007</v>
      </c>
      <c r="BH67" s="139">
        <f t="shared" si="152"/>
        <v>23.521505376344088</v>
      </c>
      <c r="BI67" s="139">
        <f t="shared" si="153"/>
        <v>17.5</v>
      </c>
      <c r="BJ67" s="139">
        <f t="shared" si="154"/>
        <v>23.521505376344088</v>
      </c>
      <c r="BK67" s="139">
        <f t="shared" si="163"/>
        <v>17.5</v>
      </c>
    </row>
    <row r="69" spans="1:63">
      <c r="A69" s="128" t="s">
        <v>201</v>
      </c>
      <c r="B69" s="120" t="s">
        <v>172</v>
      </c>
      <c r="C69" s="120" t="s">
        <v>173</v>
      </c>
      <c r="E69" s="120" t="s">
        <v>174</v>
      </c>
      <c r="F69" s="120"/>
      <c r="G69" s="120"/>
      <c r="J69" s="305" t="s">
        <v>177</v>
      </c>
      <c r="K69" s="306"/>
      <c r="L69" s="307"/>
      <c r="M69" s="305" t="s">
        <v>178</v>
      </c>
      <c r="N69" s="306"/>
      <c r="O69" s="307"/>
      <c r="P69" s="305" t="s">
        <v>179</v>
      </c>
      <c r="Q69" s="306"/>
      <c r="R69" s="306"/>
      <c r="S69" s="308" t="s">
        <v>180</v>
      </c>
      <c r="T69" s="308"/>
      <c r="U69" s="308"/>
      <c r="Z69" s="305" t="s">
        <v>177</v>
      </c>
      <c r="AA69" s="306"/>
      <c r="AB69" s="307"/>
      <c r="AC69" s="305" t="s">
        <v>178</v>
      </c>
      <c r="AD69" s="306"/>
      <c r="AE69" s="307"/>
      <c r="AF69" s="305" t="s">
        <v>179</v>
      </c>
      <c r="AG69" s="306"/>
      <c r="AH69" s="306"/>
      <c r="AI69" s="308" t="s">
        <v>180</v>
      </c>
      <c r="AJ69" s="308"/>
      <c r="AK69" s="308"/>
      <c r="AL69" s="128"/>
      <c r="AP69" s="305" t="s">
        <v>177</v>
      </c>
      <c r="AQ69" s="306"/>
      <c r="AR69" s="307"/>
      <c r="AS69" s="305" t="s">
        <v>178</v>
      </c>
      <c r="AT69" s="306"/>
      <c r="AU69" s="307"/>
      <c r="AV69" s="305" t="s">
        <v>179</v>
      </c>
      <c r="AW69" s="306"/>
      <c r="AX69" s="306"/>
      <c r="AY69" s="308" t="s">
        <v>180</v>
      </c>
      <c r="AZ69" s="308"/>
      <c r="BA69" s="308"/>
      <c r="BD69" s="310" t="s">
        <v>177</v>
      </c>
      <c r="BE69" s="311"/>
      <c r="BF69" s="310" t="s">
        <v>178</v>
      </c>
      <c r="BG69" s="311"/>
      <c r="BH69" s="310" t="s">
        <v>181</v>
      </c>
      <c r="BI69" s="311"/>
      <c r="BJ69" s="308" t="s">
        <v>180</v>
      </c>
      <c r="BK69" s="308"/>
    </row>
    <row r="70" spans="1:63" ht="13.8" thickBot="1">
      <c r="D70" s="118" t="s">
        <v>176</v>
      </c>
      <c r="E70" s="118" t="s">
        <v>175</v>
      </c>
      <c r="J70" s="117" t="s">
        <v>205</v>
      </c>
      <c r="K70" s="117" t="s">
        <v>176</v>
      </c>
      <c r="L70" s="117" t="s">
        <v>175</v>
      </c>
      <c r="M70" s="117" t="s">
        <v>205</v>
      </c>
      <c r="N70" s="117" t="s">
        <v>176</v>
      </c>
      <c r="O70" s="117" t="s">
        <v>175</v>
      </c>
      <c r="P70" s="117" t="s">
        <v>205</v>
      </c>
      <c r="Q70" s="117" t="s">
        <v>176</v>
      </c>
      <c r="R70" s="117" t="s">
        <v>175</v>
      </c>
      <c r="S70" s="137" t="s">
        <v>205</v>
      </c>
      <c r="T70" s="137" t="s">
        <v>176</v>
      </c>
      <c r="U70" s="137" t="s">
        <v>175</v>
      </c>
      <c r="Z70" s="117" t="s">
        <v>205</v>
      </c>
      <c r="AA70" s="117" t="s">
        <v>176</v>
      </c>
      <c r="AB70" s="117" t="s">
        <v>175</v>
      </c>
      <c r="AC70" s="117" t="s">
        <v>205</v>
      </c>
      <c r="AD70" s="117" t="s">
        <v>176</v>
      </c>
      <c r="AE70" s="117" t="s">
        <v>175</v>
      </c>
      <c r="AF70" s="117" t="s">
        <v>205</v>
      </c>
      <c r="AG70" s="117" t="s">
        <v>176</v>
      </c>
      <c r="AH70" s="117" t="s">
        <v>175</v>
      </c>
      <c r="AI70" s="137" t="s">
        <v>205</v>
      </c>
      <c r="AJ70" s="137" t="s">
        <v>176</v>
      </c>
      <c r="AK70" s="137" t="s">
        <v>175</v>
      </c>
      <c r="AP70" s="117" t="s">
        <v>205</v>
      </c>
      <c r="AQ70" s="117" t="s">
        <v>176</v>
      </c>
      <c r="AR70" s="117" t="s">
        <v>175</v>
      </c>
      <c r="AS70" s="117" t="s">
        <v>205</v>
      </c>
      <c r="AT70" s="117" t="s">
        <v>176</v>
      </c>
      <c r="AU70" s="117" t="s">
        <v>175</v>
      </c>
      <c r="AV70" s="117" t="s">
        <v>205</v>
      </c>
      <c r="AW70" s="117" t="s">
        <v>176</v>
      </c>
      <c r="AX70" s="117" t="s">
        <v>175</v>
      </c>
      <c r="AY70" s="137" t="s">
        <v>205</v>
      </c>
      <c r="AZ70" s="137" t="s">
        <v>176</v>
      </c>
      <c r="BA70" s="137" t="s">
        <v>175</v>
      </c>
      <c r="BD70" s="137" t="s">
        <v>176</v>
      </c>
      <c r="BE70" s="137" t="s">
        <v>175</v>
      </c>
      <c r="BF70" s="137" t="s">
        <v>176</v>
      </c>
      <c r="BG70" s="137" t="s">
        <v>175</v>
      </c>
      <c r="BH70" s="137" t="s">
        <v>176</v>
      </c>
      <c r="BI70" s="137" t="s">
        <v>175</v>
      </c>
      <c r="BJ70" s="137" t="s">
        <v>176</v>
      </c>
      <c r="BK70" s="137" t="s">
        <v>175</v>
      </c>
    </row>
    <row r="71" spans="1:63" ht="14.4">
      <c r="A71" s="121" t="s">
        <v>55</v>
      </c>
      <c r="B71" s="118">
        <v>31</v>
      </c>
      <c r="C71" s="118">
        <f>B71*24</f>
        <v>744</v>
      </c>
      <c r="D71" s="122">
        <f t="shared" ref="D71:D82" si="164">E71*1000/C71</f>
        <v>32.258064516129032</v>
      </c>
      <c r="E71" s="118">
        <v>24</v>
      </c>
      <c r="H71" s="123"/>
      <c r="J71" s="124">
        <v>1.61</v>
      </c>
      <c r="K71" s="125">
        <f t="shared" ref="K71:K82" si="165">J71*D71</f>
        <v>51.935483870967744</v>
      </c>
      <c r="L71" s="125">
        <f>$E71*J71</f>
        <v>38.64</v>
      </c>
      <c r="M71" s="124">
        <v>0.52</v>
      </c>
      <c r="N71" s="125">
        <f t="shared" ref="N71:N82" si="166">M71*D71</f>
        <v>16.774193548387096</v>
      </c>
      <c r="O71" s="125">
        <f>$E71*M71</f>
        <v>12.48</v>
      </c>
      <c r="P71" s="124">
        <v>1</v>
      </c>
      <c r="Q71" s="125">
        <f t="shared" ref="Q71:Q82" si="167">P71*D71</f>
        <v>32.258064516129032</v>
      </c>
      <c r="R71" s="125">
        <f>$E71*P71</f>
        <v>24</v>
      </c>
      <c r="S71" s="124">
        <v>1</v>
      </c>
      <c r="T71" s="125">
        <f t="shared" ref="T71:T82" si="168">S71*D71</f>
        <v>32.258064516129032</v>
      </c>
      <c r="U71" s="125">
        <f>$E71*S71</f>
        <v>24</v>
      </c>
      <c r="X71" s="123"/>
      <c r="Y71" s="123"/>
      <c r="Z71" s="124">
        <v>1.94</v>
      </c>
      <c r="AA71" s="125">
        <f>Z71*$D71</f>
        <v>62.58064516129032</v>
      </c>
      <c r="AB71" s="125">
        <f t="shared" ref="AB71:AB82" si="169">$E71*Z71</f>
        <v>46.56</v>
      </c>
      <c r="AC71" s="124">
        <v>0.51</v>
      </c>
      <c r="AD71" s="125">
        <f>AC71*$D71</f>
        <v>16.451612903225808</v>
      </c>
      <c r="AE71" s="125">
        <f t="shared" ref="AE71:AE82" si="170">$E71*AC71</f>
        <v>12.24</v>
      </c>
      <c r="AF71" s="124">
        <v>0.95</v>
      </c>
      <c r="AG71" s="125">
        <f>AF71*$D71</f>
        <v>30.64516129032258</v>
      </c>
      <c r="AH71" s="125">
        <f t="shared" ref="AH71:AH82" si="171">$E71*AF71</f>
        <v>22.799999999999997</v>
      </c>
      <c r="AI71" s="124">
        <v>0.95</v>
      </c>
      <c r="AJ71" s="125">
        <f>AI71*$D71</f>
        <v>30.64516129032258</v>
      </c>
      <c r="AK71" s="125">
        <f t="shared" ref="AK71:AK82" si="172">$E71*AI71</f>
        <v>22.799999999999997</v>
      </c>
      <c r="AL71" s="162"/>
      <c r="AN71" s="123"/>
      <c r="AO71" s="123"/>
      <c r="AP71" s="124">
        <v>1.92</v>
      </c>
      <c r="AQ71" s="125">
        <f>AP71*$D71</f>
        <v>61.935483870967737</v>
      </c>
      <c r="AR71" s="125">
        <f t="shared" ref="AR71:AR82" si="173">$E71*AP71</f>
        <v>46.08</v>
      </c>
      <c r="AS71" s="124">
        <v>0.55000000000000004</v>
      </c>
      <c r="AT71" s="125">
        <f>AS71*$D71</f>
        <v>17.741935483870968</v>
      </c>
      <c r="AU71" s="125">
        <f t="shared" ref="AU71:AU82" si="174">$E71*AS71</f>
        <v>13.200000000000001</v>
      </c>
      <c r="AV71" s="124">
        <v>0.85</v>
      </c>
      <c r="AW71" s="125">
        <f>AV71*$D71</f>
        <v>27.419354838709676</v>
      </c>
      <c r="AX71" s="125">
        <f t="shared" ref="AX71:AX82" si="175">$E71*AV71</f>
        <v>20.399999999999999</v>
      </c>
      <c r="AY71" s="124">
        <v>0.85</v>
      </c>
      <c r="AZ71" s="125">
        <f>AY71*$D71</f>
        <v>27.419354838709676</v>
      </c>
      <c r="BA71" s="125">
        <f t="shared" ref="BA71:BA82" si="176">$E71*AY71</f>
        <v>20.399999999999999</v>
      </c>
      <c r="BD71" s="139">
        <f>(K71+AQ71)/2</f>
        <v>56.935483870967744</v>
      </c>
      <c r="BE71" s="139">
        <f>(L71+AR71)/2</f>
        <v>42.36</v>
      </c>
      <c r="BF71" s="139">
        <f>(N71+AT71)/2</f>
        <v>17.258064516129032</v>
      </c>
      <c r="BG71" s="139">
        <f>(O71+AU71)/2</f>
        <v>12.84</v>
      </c>
      <c r="BH71" s="139">
        <f>(Q71+AW71)/2</f>
        <v>29.838709677419352</v>
      </c>
      <c r="BI71" s="139">
        <f>(R71+AX71)/2</f>
        <v>22.2</v>
      </c>
      <c r="BJ71" s="139">
        <f>(T71+AZ71)/2</f>
        <v>29.838709677419352</v>
      </c>
      <c r="BK71" s="139">
        <f>(U71+BA71)/2</f>
        <v>22.2</v>
      </c>
    </row>
    <row r="72" spans="1:63" ht="14.4">
      <c r="A72" s="126" t="s">
        <v>56</v>
      </c>
      <c r="B72" s="118">
        <v>28</v>
      </c>
      <c r="C72" s="118">
        <f t="shared" ref="C72:C82" si="177">B72*24</f>
        <v>672</v>
      </c>
      <c r="D72" s="122">
        <f t="shared" si="164"/>
        <v>71.428571428571431</v>
      </c>
      <c r="E72" s="118">
        <v>48</v>
      </c>
      <c r="H72" s="123"/>
      <c r="J72" s="124">
        <v>1.45</v>
      </c>
      <c r="K72" s="125">
        <f t="shared" si="165"/>
        <v>103.57142857142857</v>
      </c>
      <c r="L72" s="125">
        <f t="shared" ref="L72:L82" si="178">$E72*J72</f>
        <v>69.599999999999994</v>
      </c>
      <c r="M72" s="124">
        <v>0.45</v>
      </c>
      <c r="N72" s="125">
        <f t="shared" si="166"/>
        <v>32.142857142857146</v>
      </c>
      <c r="O72" s="125">
        <f t="shared" ref="O72:O82" si="179">$E72*M72</f>
        <v>21.6</v>
      </c>
      <c r="P72" s="124">
        <v>0.98</v>
      </c>
      <c r="Q72" s="125">
        <f t="shared" si="167"/>
        <v>70</v>
      </c>
      <c r="R72" s="125">
        <f t="shared" ref="R72:R82" si="180">$E72*P72</f>
        <v>47.04</v>
      </c>
      <c r="S72" s="124">
        <v>0.98</v>
      </c>
      <c r="T72" s="125">
        <f t="shared" si="168"/>
        <v>70</v>
      </c>
      <c r="U72" s="125">
        <f t="shared" ref="U72:U82" si="181">$E72*S72</f>
        <v>47.04</v>
      </c>
      <c r="X72" s="123"/>
      <c r="Y72" s="123"/>
      <c r="Z72" s="124">
        <v>1.64</v>
      </c>
      <c r="AA72" s="125">
        <f t="shared" ref="AA72:AA73" si="182">Z72*$D72</f>
        <v>117.14285714285714</v>
      </c>
      <c r="AB72" s="125">
        <f t="shared" si="169"/>
        <v>78.72</v>
      </c>
      <c r="AC72" s="124">
        <v>0.44</v>
      </c>
      <c r="AD72" s="125">
        <f t="shared" ref="AD72:AD73" si="183">AC72*$D72</f>
        <v>31.428571428571431</v>
      </c>
      <c r="AE72" s="125">
        <f t="shared" si="170"/>
        <v>21.12</v>
      </c>
      <c r="AF72" s="124">
        <v>0.92</v>
      </c>
      <c r="AG72" s="125">
        <f t="shared" ref="AG72:AG73" si="184">AF72*$D72</f>
        <v>65.714285714285722</v>
      </c>
      <c r="AH72" s="125">
        <f t="shared" si="171"/>
        <v>44.160000000000004</v>
      </c>
      <c r="AI72" s="124">
        <v>0.92</v>
      </c>
      <c r="AJ72" s="125">
        <f t="shared" ref="AJ72:AJ73" si="185">AI72*$D72</f>
        <v>65.714285714285722</v>
      </c>
      <c r="AK72" s="125">
        <f t="shared" si="172"/>
        <v>44.160000000000004</v>
      </c>
      <c r="AL72" s="162"/>
      <c r="AN72" s="123"/>
      <c r="AO72" s="123"/>
      <c r="AP72" s="124">
        <v>1.54</v>
      </c>
      <c r="AQ72" s="125">
        <f t="shared" ref="AQ72:AQ82" si="186">AP72*$D72</f>
        <v>110</v>
      </c>
      <c r="AR72" s="125">
        <f t="shared" si="173"/>
        <v>73.92</v>
      </c>
      <c r="AS72" s="124">
        <v>0.47</v>
      </c>
      <c r="AT72" s="125">
        <f t="shared" ref="AT72:AT82" si="187">AS72*$D72</f>
        <v>33.571428571428569</v>
      </c>
      <c r="AU72" s="125">
        <f t="shared" si="174"/>
        <v>22.56</v>
      </c>
      <c r="AV72" s="124">
        <v>0.8</v>
      </c>
      <c r="AW72" s="125">
        <f t="shared" ref="AW72:AW82" si="188">AV72*$D72</f>
        <v>57.142857142857146</v>
      </c>
      <c r="AX72" s="125">
        <f t="shared" si="175"/>
        <v>38.400000000000006</v>
      </c>
      <c r="AY72" s="124">
        <v>0.8</v>
      </c>
      <c r="AZ72" s="125">
        <f t="shared" ref="AZ72:AZ82" si="189">AY72*$D72</f>
        <v>57.142857142857146</v>
      </c>
      <c r="BA72" s="125">
        <f t="shared" si="176"/>
        <v>38.400000000000006</v>
      </c>
      <c r="BD72" s="139">
        <f t="shared" ref="BD72:BD82" si="190">(K72+AQ72)/2</f>
        <v>106.78571428571428</v>
      </c>
      <c r="BE72" s="139">
        <f t="shared" ref="BE72:BE77" si="191">(L72+AR72)/2</f>
        <v>71.759999999999991</v>
      </c>
      <c r="BF72" s="139">
        <f t="shared" ref="BF72:BF82" si="192">(N72+AT72)/2</f>
        <v>32.857142857142861</v>
      </c>
      <c r="BG72" s="139">
        <f t="shared" ref="BG72:BG77" si="193">(O72+AU72)/2</f>
        <v>22.08</v>
      </c>
      <c r="BH72" s="139">
        <f t="shared" ref="BH72:BH82" si="194">(Q72+AW72)/2</f>
        <v>63.571428571428569</v>
      </c>
      <c r="BI72" s="139">
        <f t="shared" ref="BI72:BI82" si="195">(R72+AX72)/2</f>
        <v>42.72</v>
      </c>
      <c r="BJ72" s="139">
        <f t="shared" ref="BJ72:BJ82" si="196">(T72+AZ72)/2</f>
        <v>63.571428571428569</v>
      </c>
      <c r="BK72" s="139">
        <f t="shared" ref="BK72:BK75" si="197">(U72+BA72)/2</f>
        <v>42.72</v>
      </c>
    </row>
    <row r="73" spans="1:63" ht="14.4">
      <c r="A73" s="126" t="s">
        <v>57</v>
      </c>
      <c r="B73" s="118">
        <v>31</v>
      </c>
      <c r="C73" s="118">
        <f t="shared" si="177"/>
        <v>744</v>
      </c>
      <c r="D73" s="122">
        <f t="shared" si="164"/>
        <v>112.90322580645162</v>
      </c>
      <c r="E73" s="118">
        <v>84</v>
      </c>
      <c r="H73" s="123"/>
      <c r="J73" s="124">
        <v>1.25</v>
      </c>
      <c r="K73" s="125">
        <f t="shared" si="165"/>
        <v>141.12903225806451</v>
      </c>
      <c r="L73" s="125">
        <f t="shared" si="178"/>
        <v>105</v>
      </c>
      <c r="M73" s="124">
        <v>0.52</v>
      </c>
      <c r="N73" s="125">
        <f t="shared" si="166"/>
        <v>58.70967741935484</v>
      </c>
      <c r="O73" s="125">
        <f t="shared" si="179"/>
        <v>43.68</v>
      </c>
      <c r="P73" s="124">
        <v>0.96</v>
      </c>
      <c r="Q73" s="125">
        <f t="shared" si="167"/>
        <v>108.38709677419355</v>
      </c>
      <c r="R73" s="125">
        <f t="shared" si="180"/>
        <v>80.64</v>
      </c>
      <c r="S73" s="124">
        <v>0.96</v>
      </c>
      <c r="T73" s="125">
        <f t="shared" si="168"/>
        <v>108.38709677419355</v>
      </c>
      <c r="U73" s="125">
        <f t="shared" si="181"/>
        <v>80.64</v>
      </c>
      <c r="X73" s="123"/>
      <c r="Y73" s="123"/>
      <c r="Z73" s="124">
        <v>1.28</v>
      </c>
      <c r="AA73" s="125">
        <f t="shared" si="182"/>
        <v>144.51612903225808</v>
      </c>
      <c r="AB73" s="125">
        <f t="shared" si="169"/>
        <v>107.52</v>
      </c>
      <c r="AC73" s="124">
        <v>0.35</v>
      </c>
      <c r="AD73" s="125">
        <f t="shared" si="183"/>
        <v>39.516129032258064</v>
      </c>
      <c r="AE73" s="125">
        <f t="shared" si="170"/>
        <v>29.4</v>
      </c>
      <c r="AF73" s="124">
        <v>0.85</v>
      </c>
      <c r="AG73" s="125">
        <f t="shared" si="184"/>
        <v>95.967741935483872</v>
      </c>
      <c r="AH73" s="125">
        <f t="shared" si="171"/>
        <v>71.399999999999991</v>
      </c>
      <c r="AI73" s="124">
        <v>0.85</v>
      </c>
      <c r="AJ73" s="125">
        <f t="shared" si="185"/>
        <v>95.967741935483872</v>
      </c>
      <c r="AK73" s="125">
        <f t="shared" si="172"/>
        <v>71.399999999999991</v>
      </c>
      <c r="AL73" s="162"/>
      <c r="AN73" s="123"/>
      <c r="AO73" s="123"/>
      <c r="AP73" s="124">
        <v>1.06</v>
      </c>
      <c r="AQ73" s="125">
        <f t="shared" si="186"/>
        <v>119.67741935483872</v>
      </c>
      <c r="AR73" s="125">
        <f t="shared" si="173"/>
        <v>89.04</v>
      </c>
      <c r="AS73" s="124">
        <v>0.34</v>
      </c>
      <c r="AT73" s="125">
        <f t="shared" si="187"/>
        <v>38.387096774193552</v>
      </c>
      <c r="AU73" s="125">
        <f t="shared" si="174"/>
        <v>28.560000000000002</v>
      </c>
      <c r="AV73" s="124">
        <v>0.67</v>
      </c>
      <c r="AW73" s="125">
        <f t="shared" si="188"/>
        <v>75.645161290322591</v>
      </c>
      <c r="AX73" s="125">
        <f t="shared" si="175"/>
        <v>56.28</v>
      </c>
      <c r="AY73" s="124">
        <v>0.67</v>
      </c>
      <c r="AZ73" s="125">
        <f t="shared" si="189"/>
        <v>75.645161290322591</v>
      </c>
      <c r="BA73" s="125">
        <f t="shared" si="176"/>
        <v>56.28</v>
      </c>
      <c r="BD73" s="139">
        <f t="shared" si="190"/>
        <v>130.40322580645162</v>
      </c>
      <c r="BE73" s="139">
        <f t="shared" si="191"/>
        <v>97.02000000000001</v>
      </c>
      <c r="BF73" s="139">
        <f t="shared" si="192"/>
        <v>48.548387096774192</v>
      </c>
      <c r="BG73" s="139">
        <f t="shared" si="193"/>
        <v>36.120000000000005</v>
      </c>
      <c r="BH73" s="139">
        <f t="shared" si="194"/>
        <v>92.016129032258078</v>
      </c>
      <c r="BI73" s="139">
        <f t="shared" si="195"/>
        <v>68.460000000000008</v>
      </c>
      <c r="BJ73" s="139">
        <f t="shared" si="196"/>
        <v>92.016129032258078</v>
      </c>
      <c r="BK73" s="139">
        <f t="shared" si="197"/>
        <v>68.460000000000008</v>
      </c>
    </row>
    <row r="74" spans="1:63" ht="14.4">
      <c r="A74" s="126" t="s">
        <v>58</v>
      </c>
      <c r="B74" s="118">
        <v>30</v>
      </c>
      <c r="C74" s="118">
        <f t="shared" si="177"/>
        <v>720</v>
      </c>
      <c r="D74" s="122">
        <f t="shared" si="164"/>
        <v>172.22222222222223</v>
      </c>
      <c r="E74" s="118">
        <v>124</v>
      </c>
      <c r="H74" s="123"/>
      <c r="J74" s="124">
        <v>1.0900000000000001</v>
      </c>
      <c r="K74" s="125">
        <f t="shared" si="165"/>
        <v>187.72222222222226</v>
      </c>
      <c r="L74" s="125">
        <f t="shared" si="178"/>
        <v>135.16</v>
      </c>
      <c r="M74" s="124">
        <v>0.68</v>
      </c>
      <c r="N74" s="125">
        <f t="shared" si="166"/>
        <v>117.11111111111113</v>
      </c>
      <c r="O74" s="125">
        <f t="shared" si="179"/>
        <v>84.320000000000007</v>
      </c>
      <c r="P74" s="124">
        <v>0.94</v>
      </c>
      <c r="Q74" s="125">
        <f t="shared" si="167"/>
        <v>161.88888888888889</v>
      </c>
      <c r="R74" s="125">
        <f t="shared" si="180"/>
        <v>116.55999999999999</v>
      </c>
      <c r="S74" s="124">
        <v>0.94</v>
      </c>
      <c r="T74" s="125">
        <f t="shared" si="168"/>
        <v>161.88888888888889</v>
      </c>
      <c r="U74" s="125">
        <f t="shared" si="181"/>
        <v>116.55999999999999</v>
      </c>
      <c r="X74" s="123"/>
      <c r="Y74" s="123"/>
      <c r="Z74" s="124">
        <v>0.99</v>
      </c>
      <c r="AA74" s="125">
        <f>Z74*$D74</f>
        <v>170.5</v>
      </c>
      <c r="AB74" s="125">
        <f t="shared" si="169"/>
        <v>122.76</v>
      </c>
      <c r="AC74" s="124">
        <v>0.34</v>
      </c>
      <c r="AD74" s="125">
        <f>AC74*$D74</f>
        <v>58.555555555555564</v>
      </c>
      <c r="AE74" s="125">
        <f t="shared" si="170"/>
        <v>42.160000000000004</v>
      </c>
      <c r="AF74" s="124">
        <v>0.81</v>
      </c>
      <c r="AG74" s="125">
        <f>AF74*$D74</f>
        <v>139.50000000000003</v>
      </c>
      <c r="AH74" s="125">
        <f t="shared" si="171"/>
        <v>100.44000000000001</v>
      </c>
      <c r="AI74" s="124">
        <v>0.81</v>
      </c>
      <c r="AJ74" s="125">
        <f>AI74*$D74</f>
        <v>139.50000000000003</v>
      </c>
      <c r="AK74" s="125">
        <f t="shared" si="172"/>
        <v>100.44000000000001</v>
      </c>
      <c r="AL74" s="162"/>
      <c r="AN74" s="123"/>
      <c r="AO74" s="123"/>
      <c r="AP74" s="124">
        <v>0.72</v>
      </c>
      <c r="AQ74" s="125">
        <f>AP74*$D74</f>
        <v>124</v>
      </c>
      <c r="AR74" s="125">
        <f t="shared" si="173"/>
        <v>89.28</v>
      </c>
      <c r="AS74" s="124">
        <v>0.3</v>
      </c>
      <c r="AT74" s="125">
        <f>AS74*$D74</f>
        <v>51.666666666666664</v>
      </c>
      <c r="AU74" s="125">
        <f t="shared" si="174"/>
        <v>37.199999999999996</v>
      </c>
      <c r="AV74" s="124">
        <v>0.59</v>
      </c>
      <c r="AW74" s="125">
        <f>AV74*$D74</f>
        <v>101.61111111111111</v>
      </c>
      <c r="AX74" s="125">
        <f t="shared" si="175"/>
        <v>73.16</v>
      </c>
      <c r="AY74" s="124">
        <v>0.59</v>
      </c>
      <c r="AZ74" s="125">
        <f>AY74*$D74</f>
        <v>101.61111111111111</v>
      </c>
      <c r="BA74" s="125">
        <f t="shared" si="176"/>
        <v>73.16</v>
      </c>
      <c r="BC74" s="117" t="s">
        <v>246</v>
      </c>
      <c r="BD74" s="139">
        <f t="shared" si="190"/>
        <v>155.86111111111114</v>
      </c>
      <c r="BE74" s="139">
        <f t="shared" si="191"/>
        <v>112.22</v>
      </c>
      <c r="BF74" s="139">
        <f t="shared" si="192"/>
        <v>84.3888888888889</v>
      </c>
      <c r="BG74" s="139">
        <f t="shared" si="193"/>
        <v>60.760000000000005</v>
      </c>
      <c r="BH74" s="139">
        <f t="shared" si="194"/>
        <v>131.75</v>
      </c>
      <c r="BI74" s="139">
        <f t="shared" si="195"/>
        <v>94.859999999999985</v>
      </c>
      <c r="BJ74" s="139">
        <f t="shared" si="196"/>
        <v>131.75</v>
      </c>
      <c r="BK74" s="139">
        <f t="shared" si="197"/>
        <v>94.859999999999985</v>
      </c>
    </row>
    <row r="75" spans="1:63" ht="14.4">
      <c r="A75" s="126" t="s">
        <v>183</v>
      </c>
      <c r="B75" s="118">
        <v>31</v>
      </c>
      <c r="C75" s="118">
        <f t="shared" si="177"/>
        <v>744</v>
      </c>
      <c r="D75" s="122">
        <f t="shared" si="164"/>
        <v>205.64516129032259</v>
      </c>
      <c r="E75" s="118">
        <v>153</v>
      </c>
      <c r="H75" s="123"/>
      <c r="I75" s="117" t="s">
        <v>246</v>
      </c>
      <c r="J75" s="124">
        <v>1.01</v>
      </c>
      <c r="K75" s="125">
        <f t="shared" si="165"/>
        <v>207.70161290322582</v>
      </c>
      <c r="L75" s="125">
        <f t="shared" si="178"/>
        <v>154.53</v>
      </c>
      <c r="M75" s="124">
        <v>0.79</v>
      </c>
      <c r="N75" s="125">
        <f t="shared" si="166"/>
        <v>162.45967741935485</v>
      </c>
      <c r="O75" s="125">
        <f t="shared" si="179"/>
        <v>120.87</v>
      </c>
      <c r="P75" s="124">
        <v>0.94</v>
      </c>
      <c r="Q75" s="125">
        <f t="shared" si="167"/>
        <v>193.30645161290323</v>
      </c>
      <c r="R75" s="125">
        <f t="shared" si="180"/>
        <v>143.82</v>
      </c>
      <c r="S75" s="124">
        <v>0.94</v>
      </c>
      <c r="T75" s="125">
        <f t="shared" si="168"/>
        <v>193.30645161290323</v>
      </c>
      <c r="U75" s="125">
        <f t="shared" si="181"/>
        <v>143.82</v>
      </c>
      <c r="W75" s="117" t="s">
        <v>246</v>
      </c>
      <c r="X75" s="123"/>
      <c r="Y75" s="123"/>
      <c r="Z75" s="124">
        <v>0.84</v>
      </c>
      <c r="AA75" s="125">
        <f t="shared" ref="AA75:AA82" si="198">Z75*$D75</f>
        <v>172.74193548387098</v>
      </c>
      <c r="AB75" s="125">
        <f t="shared" si="169"/>
        <v>128.51999999999998</v>
      </c>
      <c r="AC75" s="124">
        <v>0.4</v>
      </c>
      <c r="AD75" s="125">
        <f t="shared" ref="AD75:AD82" si="199">AC75*$D75</f>
        <v>82.258064516129039</v>
      </c>
      <c r="AE75" s="125">
        <f t="shared" si="170"/>
        <v>61.2</v>
      </c>
      <c r="AF75" s="124">
        <v>0.79</v>
      </c>
      <c r="AG75" s="125">
        <f t="shared" ref="AG75:AG82" si="200">AF75*$D75</f>
        <v>162.45967741935485</v>
      </c>
      <c r="AH75" s="125">
        <f t="shared" si="171"/>
        <v>120.87</v>
      </c>
      <c r="AI75" s="124">
        <v>0.79</v>
      </c>
      <c r="AJ75" s="125">
        <f t="shared" ref="AJ75:AJ82" si="201">AI75*$D75</f>
        <v>162.45967741935485</v>
      </c>
      <c r="AK75" s="125">
        <f t="shared" si="172"/>
        <v>120.87</v>
      </c>
      <c r="AL75" s="162"/>
      <c r="AM75" s="117" t="s">
        <v>246</v>
      </c>
      <c r="AN75" s="123"/>
      <c r="AO75" s="123"/>
      <c r="AP75" s="124">
        <v>0.55000000000000004</v>
      </c>
      <c r="AQ75" s="125">
        <f t="shared" si="186"/>
        <v>113.10483870967744</v>
      </c>
      <c r="AR75" s="125">
        <f t="shared" si="173"/>
        <v>84.15</v>
      </c>
      <c r="AS75" s="124">
        <v>0.3</v>
      </c>
      <c r="AT75" s="125">
        <f t="shared" si="187"/>
        <v>61.693548387096776</v>
      </c>
      <c r="AU75" s="125">
        <f t="shared" si="174"/>
        <v>45.9</v>
      </c>
      <c r="AV75" s="124">
        <v>0.56000000000000005</v>
      </c>
      <c r="AW75" s="125">
        <f t="shared" si="188"/>
        <v>115.16129032258065</v>
      </c>
      <c r="AX75" s="125">
        <f t="shared" si="175"/>
        <v>85.68</v>
      </c>
      <c r="AY75" s="124">
        <v>0.56000000000000005</v>
      </c>
      <c r="AZ75" s="125">
        <f t="shared" si="189"/>
        <v>115.16129032258065</v>
      </c>
      <c r="BA75" s="125">
        <f t="shared" si="176"/>
        <v>85.68</v>
      </c>
      <c r="BC75" s="117" t="s">
        <v>243</v>
      </c>
      <c r="BD75" s="139">
        <f t="shared" si="190"/>
        <v>160.40322580645164</v>
      </c>
      <c r="BE75" s="139">
        <f t="shared" si="191"/>
        <v>119.34</v>
      </c>
      <c r="BF75" s="139">
        <f t="shared" si="192"/>
        <v>112.07661290322581</v>
      </c>
      <c r="BG75" s="139">
        <f t="shared" si="193"/>
        <v>83.385000000000005</v>
      </c>
      <c r="BH75" s="139">
        <f t="shared" si="194"/>
        <v>154.23387096774195</v>
      </c>
      <c r="BI75" s="139">
        <f t="shared" si="195"/>
        <v>114.75</v>
      </c>
      <c r="BJ75" s="139">
        <f t="shared" si="196"/>
        <v>154.23387096774195</v>
      </c>
      <c r="BK75" s="139">
        <f t="shared" si="197"/>
        <v>114.75</v>
      </c>
    </row>
    <row r="76" spans="1:63" ht="14.4">
      <c r="A76" s="126" t="s">
        <v>184</v>
      </c>
      <c r="B76" s="118">
        <v>30</v>
      </c>
      <c r="C76" s="118">
        <f t="shared" si="177"/>
        <v>720</v>
      </c>
      <c r="D76" s="122">
        <f t="shared" si="164"/>
        <v>225</v>
      </c>
      <c r="E76" s="118">
        <v>162</v>
      </c>
      <c r="H76" s="123"/>
      <c r="I76" s="117" t="s">
        <v>243</v>
      </c>
      <c r="J76" s="124">
        <v>0.97</v>
      </c>
      <c r="K76" s="125">
        <f t="shared" si="165"/>
        <v>218.25</v>
      </c>
      <c r="L76" s="125">
        <f t="shared" si="178"/>
        <v>157.13999999999999</v>
      </c>
      <c r="M76" s="124">
        <v>0.82</v>
      </c>
      <c r="N76" s="125">
        <f t="shared" si="166"/>
        <v>184.5</v>
      </c>
      <c r="O76" s="125">
        <f t="shared" si="179"/>
        <v>132.84</v>
      </c>
      <c r="P76" s="124">
        <v>0.93</v>
      </c>
      <c r="Q76" s="125">
        <f t="shared" si="167"/>
        <v>209.25</v>
      </c>
      <c r="R76" s="125">
        <f t="shared" si="180"/>
        <v>150.66</v>
      </c>
      <c r="S76" s="124">
        <v>0.93</v>
      </c>
      <c r="T76" s="125">
        <f t="shared" si="168"/>
        <v>209.25</v>
      </c>
      <c r="U76" s="125">
        <f t="shared" si="181"/>
        <v>150.66</v>
      </c>
      <c r="W76" s="117" t="s">
        <v>243</v>
      </c>
      <c r="X76" s="123"/>
      <c r="Y76" s="123"/>
      <c r="Z76" s="124">
        <v>0.78</v>
      </c>
      <c r="AA76" s="125">
        <f t="shared" si="198"/>
        <v>175.5</v>
      </c>
      <c r="AB76" s="125">
        <f t="shared" si="169"/>
        <v>126.36</v>
      </c>
      <c r="AC76" s="124">
        <v>0.45</v>
      </c>
      <c r="AD76" s="125">
        <f t="shared" si="199"/>
        <v>101.25</v>
      </c>
      <c r="AE76" s="125">
        <f t="shared" si="170"/>
        <v>72.900000000000006</v>
      </c>
      <c r="AF76" s="124">
        <v>0.78</v>
      </c>
      <c r="AG76" s="125">
        <f t="shared" si="200"/>
        <v>175.5</v>
      </c>
      <c r="AH76" s="125">
        <f t="shared" si="171"/>
        <v>126.36</v>
      </c>
      <c r="AI76" s="124">
        <v>0.78</v>
      </c>
      <c r="AJ76" s="125">
        <f t="shared" si="201"/>
        <v>175.5</v>
      </c>
      <c r="AK76" s="125">
        <f t="shared" si="172"/>
        <v>126.36</v>
      </c>
      <c r="AL76" s="162"/>
      <c r="AM76" s="117" t="s">
        <v>243</v>
      </c>
      <c r="AN76" s="123"/>
      <c r="AO76" s="123"/>
      <c r="AP76" s="124">
        <v>0.5</v>
      </c>
      <c r="AQ76" s="125">
        <f t="shared" si="186"/>
        <v>112.5</v>
      </c>
      <c r="AR76" s="125">
        <f t="shared" si="173"/>
        <v>81</v>
      </c>
      <c r="AS76" s="124">
        <v>0.32</v>
      </c>
      <c r="AT76" s="125">
        <f t="shared" si="187"/>
        <v>72</v>
      </c>
      <c r="AU76" s="125">
        <f t="shared" si="174"/>
        <v>51.84</v>
      </c>
      <c r="AV76" s="124">
        <v>0.55000000000000004</v>
      </c>
      <c r="AW76" s="125">
        <f t="shared" si="188"/>
        <v>123.75000000000001</v>
      </c>
      <c r="AX76" s="125">
        <f t="shared" si="175"/>
        <v>89.100000000000009</v>
      </c>
      <c r="AY76" s="124">
        <v>0.55000000000000004</v>
      </c>
      <c r="AZ76" s="125">
        <f t="shared" si="189"/>
        <v>123.75000000000001</v>
      </c>
      <c r="BA76" s="125">
        <f t="shared" si="176"/>
        <v>89.100000000000009</v>
      </c>
      <c r="BD76" s="139">
        <f t="shared" si="190"/>
        <v>165.375</v>
      </c>
      <c r="BE76" s="139">
        <f t="shared" si="191"/>
        <v>119.07</v>
      </c>
      <c r="BF76" s="139">
        <f t="shared" si="192"/>
        <v>128.25</v>
      </c>
      <c r="BG76" s="139">
        <f t="shared" si="193"/>
        <v>92.34</v>
      </c>
      <c r="BH76" s="139">
        <f t="shared" si="194"/>
        <v>166.5</v>
      </c>
      <c r="BI76" s="139">
        <f t="shared" si="195"/>
        <v>119.88</v>
      </c>
      <c r="BJ76" s="139">
        <f t="shared" si="196"/>
        <v>166.5</v>
      </c>
      <c r="BK76" s="139">
        <f>(U76+BA76)/2</f>
        <v>119.88</v>
      </c>
    </row>
    <row r="77" spans="1:63" ht="14.4">
      <c r="A77" s="126" t="s">
        <v>185</v>
      </c>
      <c r="B77" s="118">
        <v>31</v>
      </c>
      <c r="C77" s="118">
        <f t="shared" si="177"/>
        <v>744</v>
      </c>
      <c r="D77" s="122">
        <f t="shared" si="164"/>
        <v>209.67741935483872</v>
      </c>
      <c r="E77" s="118">
        <v>156</v>
      </c>
      <c r="H77" s="123"/>
      <c r="J77" s="124">
        <v>0.98</v>
      </c>
      <c r="K77" s="125">
        <f t="shared" si="165"/>
        <v>205.48387096774195</v>
      </c>
      <c r="L77" s="125">
        <f t="shared" si="178"/>
        <v>152.88</v>
      </c>
      <c r="M77" s="124">
        <v>0.81</v>
      </c>
      <c r="N77" s="125">
        <f t="shared" si="166"/>
        <v>169.83870967741936</v>
      </c>
      <c r="O77" s="125">
        <f t="shared" si="179"/>
        <v>126.36000000000001</v>
      </c>
      <c r="P77" s="124">
        <v>0.93</v>
      </c>
      <c r="Q77" s="125">
        <f t="shared" si="167"/>
        <v>195.00000000000003</v>
      </c>
      <c r="R77" s="125">
        <f t="shared" si="180"/>
        <v>145.08000000000001</v>
      </c>
      <c r="S77" s="124">
        <v>0.93</v>
      </c>
      <c r="T77" s="125">
        <f t="shared" si="168"/>
        <v>195.00000000000003</v>
      </c>
      <c r="U77" s="125">
        <f t="shared" si="181"/>
        <v>145.08000000000001</v>
      </c>
      <c r="X77" s="123"/>
      <c r="Y77" s="123"/>
      <c r="Z77" s="124">
        <v>0.81</v>
      </c>
      <c r="AA77" s="125">
        <f t="shared" si="198"/>
        <v>169.83870967741936</v>
      </c>
      <c r="AB77" s="125">
        <f t="shared" si="169"/>
        <v>126.36000000000001</v>
      </c>
      <c r="AC77" s="124">
        <v>0.42</v>
      </c>
      <c r="AD77" s="125">
        <f t="shared" si="199"/>
        <v>88.064516129032256</v>
      </c>
      <c r="AE77" s="125">
        <f t="shared" si="170"/>
        <v>65.52</v>
      </c>
      <c r="AF77" s="124">
        <v>0.78</v>
      </c>
      <c r="AG77" s="125">
        <f t="shared" si="200"/>
        <v>163.54838709677421</v>
      </c>
      <c r="AH77" s="125">
        <f t="shared" si="171"/>
        <v>121.68</v>
      </c>
      <c r="AI77" s="124">
        <v>0.78</v>
      </c>
      <c r="AJ77" s="125">
        <f t="shared" si="201"/>
        <v>163.54838709677421</v>
      </c>
      <c r="AK77" s="125">
        <f t="shared" si="172"/>
        <v>121.68</v>
      </c>
      <c r="AL77" s="162"/>
      <c r="AN77" s="123"/>
      <c r="AO77" s="123"/>
      <c r="AP77" s="124">
        <v>0.52</v>
      </c>
      <c r="AQ77" s="125">
        <f t="shared" si="186"/>
        <v>109.03225806451614</v>
      </c>
      <c r="AR77" s="125">
        <f t="shared" si="173"/>
        <v>81.12</v>
      </c>
      <c r="AS77" s="124">
        <v>0.31</v>
      </c>
      <c r="AT77" s="125">
        <f t="shared" si="187"/>
        <v>65</v>
      </c>
      <c r="AU77" s="125">
        <f t="shared" si="174"/>
        <v>48.36</v>
      </c>
      <c r="AV77" s="124">
        <v>0.55000000000000004</v>
      </c>
      <c r="AW77" s="125">
        <f t="shared" si="188"/>
        <v>115.32258064516131</v>
      </c>
      <c r="AX77" s="125">
        <f t="shared" si="175"/>
        <v>85.800000000000011</v>
      </c>
      <c r="AY77" s="124">
        <v>0.55000000000000004</v>
      </c>
      <c r="AZ77" s="125">
        <f t="shared" si="189"/>
        <v>115.32258064516131</v>
      </c>
      <c r="BA77" s="125">
        <f t="shared" si="176"/>
        <v>85.800000000000011</v>
      </c>
      <c r="BD77" s="139">
        <f t="shared" si="190"/>
        <v>157.25806451612905</v>
      </c>
      <c r="BE77" s="139">
        <f t="shared" si="191"/>
        <v>117</v>
      </c>
      <c r="BF77" s="139">
        <f t="shared" si="192"/>
        <v>117.41935483870968</v>
      </c>
      <c r="BG77" s="139">
        <f t="shared" si="193"/>
        <v>87.360000000000014</v>
      </c>
      <c r="BH77" s="139">
        <f t="shared" si="194"/>
        <v>155.16129032258067</v>
      </c>
      <c r="BI77" s="139">
        <f t="shared" si="195"/>
        <v>115.44000000000001</v>
      </c>
      <c r="BJ77" s="139">
        <f t="shared" si="196"/>
        <v>155.16129032258067</v>
      </c>
      <c r="BK77" s="139">
        <f t="shared" ref="BK77:BK78" si="202">(U77+BA77)/2</f>
        <v>115.44000000000001</v>
      </c>
    </row>
    <row r="78" spans="1:63" ht="14.4">
      <c r="A78" s="126" t="s">
        <v>186</v>
      </c>
      <c r="B78" s="118">
        <v>31</v>
      </c>
      <c r="C78" s="118">
        <f t="shared" si="177"/>
        <v>744</v>
      </c>
      <c r="D78" s="122">
        <f t="shared" si="164"/>
        <v>180.10752688172042</v>
      </c>
      <c r="E78" s="118">
        <v>134</v>
      </c>
      <c r="H78" s="123"/>
      <c r="J78" s="124">
        <v>1.04</v>
      </c>
      <c r="K78" s="125">
        <f t="shared" si="165"/>
        <v>187.31182795698925</v>
      </c>
      <c r="L78" s="125">
        <f t="shared" si="178"/>
        <v>139.36000000000001</v>
      </c>
      <c r="M78" s="124">
        <v>0.73</v>
      </c>
      <c r="N78" s="125">
        <f t="shared" si="166"/>
        <v>131.47849462365591</v>
      </c>
      <c r="O78" s="125">
        <f t="shared" si="179"/>
        <v>97.82</v>
      </c>
      <c r="P78" s="124">
        <v>0.94</v>
      </c>
      <c r="Q78" s="125">
        <f t="shared" si="167"/>
        <v>169.30107526881719</v>
      </c>
      <c r="R78" s="125">
        <f t="shared" si="180"/>
        <v>125.96</v>
      </c>
      <c r="S78" s="124">
        <v>0.94</v>
      </c>
      <c r="T78" s="125">
        <f t="shared" si="168"/>
        <v>169.30107526881719</v>
      </c>
      <c r="U78" s="125">
        <f t="shared" si="181"/>
        <v>125.96</v>
      </c>
      <c r="X78" s="123"/>
      <c r="Y78" s="123"/>
      <c r="Z78" s="124">
        <v>0.91</v>
      </c>
      <c r="AA78" s="125">
        <f t="shared" si="198"/>
        <v>163.8978494623656</v>
      </c>
      <c r="AB78" s="125">
        <f t="shared" si="169"/>
        <v>121.94</v>
      </c>
      <c r="AC78" s="124">
        <v>0.35</v>
      </c>
      <c r="AD78" s="125">
        <f t="shared" si="199"/>
        <v>63.037634408602145</v>
      </c>
      <c r="AE78" s="125">
        <f t="shared" si="170"/>
        <v>46.9</v>
      </c>
      <c r="AF78" s="124">
        <v>0.79</v>
      </c>
      <c r="AG78" s="125">
        <f t="shared" si="200"/>
        <v>142.28494623655914</v>
      </c>
      <c r="AH78" s="125">
        <f t="shared" si="171"/>
        <v>105.86</v>
      </c>
      <c r="AI78" s="124">
        <v>0.79</v>
      </c>
      <c r="AJ78" s="125">
        <f t="shared" si="201"/>
        <v>142.28494623655914</v>
      </c>
      <c r="AK78" s="125">
        <f t="shared" si="172"/>
        <v>105.86</v>
      </c>
      <c r="AL78" s="162"/>
      <c r="AN78" s="123"/>
      <c r="AO78" s="123"/>
      <c r="AP78" s="124">
        <v>0.62</v>
      </c>
      <c r="AQ78" s="125">
        <f t="shared" si="186"/>
        <v>111.66666666666666</v>
      </c>
      <c r="AR78" s="125">
        <f t="shared" si="173"/>
        <v>83.08</v>
      </c>
      <c r="AS78" s="124">
        <v>0.3</v>
      </c>
      <c r="AT78" s="125">
        <f t="shared" si="187"/>
        <v>54.032258064516121</v>
      </c>
      <c r="AU78" s="125">
        <f t="shared" si="174"/>
        <v>40.199999999999996</v>
      </c>
      <c r="AV78" s="124">
        <v>0.56999999999999995</v>
      </c>
      <c r="AW78" s="125">
        <f t="shared" si="188"/>
        <v>102.66129032258063</v>
      </c>
      <c r="AX78" s="125">
        <f t="shared" si="175"/>
        <v>76.38</v>
      </c>
      <c r="AY78" s="124">
        <v>0.56999999999999995</v>
      </c>
      <c r="AZ78" s="125">
        <f t="shared" si="189"/>
        <v>102.66129032258063</v>
      </c>
      <c r="BA78" s="125">
        <f t="shared" si="176"/>
        <v>76.38</v>
      </c>
      <c r="BD78" s="139">
        <f t="shared" si="190"/>
        <v>149.48924731182797</v>
      </c>
      <c r="BE78" s="139">
        <f>(L78+AR78)/2</f>
        <v>111.22</v>
      </c>
      <c r="BF78" s="139">
        <f t="shared" si="192"/>
        <v>92.755376344086017</v>
      </c>
      <c r="BG78" s="139">
        <f>(O78+AU78)/2</f>
        <v>69.009999999999991</v>
      </c>
      <c r="BH78" s="139">
        <f t="shared" si="194"/>
        <v>135.98118279569891</v>
      </c>
      <c r="BI78" s="139">
        <f t="shared" si="195"/>
        <v>101.16999999999999</v>
      </c>
      <c r="BJ78" s="139">
        <f t="shared" si="196"/>
        <v>135.98118279569891</v>
      </c>
      <c r="BK78" s="139">
        <f t="shared" si="202"/>
        <v>101.16999999999999</v>
      </c>
    </row>
    <row r="79" spans="1:63" ht="14.4">
      <c r="A79" s="126" t="s">
        <v>187</v>
      </c>
      <c r="B79" s="118">
        <v>30</v>
      </c>
      <c r="C79" s="118">
        <f t="shared" si="177"/>
        <v>720</v>
      </c>
      <c r="D79" s="122">
        <f t="shared" si="164"/>
        <v>138.88888888888889</v>
      </c>
      <c r="E79" s="118">
        <v>100</v>
      </c>
      <c r="H79" s="123"/>
      <c r="J79" s="124">
        <v>1.17</v>
      </c>
      <c r="K79" s="125">
        <f t="shared" si="165"/>
        <v>162.5</v>
      </c>
      <c r="L79" s="125">
        <f t="shared" si="178"/>
        <v>117</v>
      </c>
      <c r="M79" s="124">
        <v>0.59</v>
      </c>
      <c r="N79" s="125">
        <f t="shared" si="166"/>
        <v>81.944444444444443</v>
      </c>
      <c r="O79" s="125">
        <f t="shared" si="179"/>
        <v>59</v>
      </c>
      <c r="P79" s="124">
        <v>0.95</v>
      </c>
      <c r="Q79" s="125">
        <f t="shared" si="167"/>
        <v>131.94444444444443</v>
      </c>
      <c r="R79" s="125">
        <f t="shared" si="180"/>
        <v>95</v>
      </c>
      <c r="S79" s="124">
        <v>0.95</v>
      </c>
      <c r="T79" s="125">
        <f t="shared" si="168"/>
        <v>131.94444444444443</v>
      </c>
      <c r="U79" s="125">
        <f t="shared" si="181"/>
        <v>95</v>
      </c>
      <c r="X79" s="123"/>
      <c r="Y79" s="123"/>
      <c r="Z79" s="124">
        <v>1.1100000000000001</v>
      </c>
      <c r="AA79" s="125">
        <f t="shared" si="198"/>
        <v>154.16666666666669</v>
      </c>
      <c r="AB79" s="125">
        <f t="shared" si="169"/>
        <v>111.00000000000001</v>
      </c>
      <c r="AC79" s="124">
        <v>0.31</v>
      </c>
      <c r="AD79" s="125">
        <f t="shared" si="199"/>
        <v>43.055555555555557</v>
      </c>
      <c r="AE79" s="125">
        <f t="shared" si="170"/>
        <v>31</v>
      </c>
      <c r="AF79" s="124">
        <v>0.81</v>
      </c>
      <c r="AG79" s="125">
        <f t="shared" si="200"/>
        <v>112.5</v>
      </c>
      <c r="AH79" s="125">
        <f t="shared" si="171"/>
        <v>81</v>
      </c>
      <c r="AI79" s="124">
        <v>0.81</v>
      </c>
      <c r="AJ79" s="125">
        <f t="shared" si="201"/>
        <v>112.5</v>
      </c>
      <c r="AK79" s="125">
        <f t="shared" si="172"/>
        <v>81</v>
      </c>
      <c r="AL79" s="162"/>
      <c r="AN79" s="123"/>
      <c r="AO79" s="123"/>
      <c r="AP79" s="124">
        <v>0.85</v>
      </c>
      <c r="AQ79" s="125">
        <f t="shared" si="186"/>
        <v>118.05555555555554</v>
      </c>
      <c r="AR79" s="125">
        <f t="shared" si="173"/>
        <v>85</v>
      </c>
      <c r="AS79" s="124">
        <v>0.28000000000000003</v>
      </c>
      <c r="AT79" s="125">
        <f t="shared" si="187"/>
        <v>38.888888888888893</v>
      </c>
      <c r="AU79" s="125">
        <f t="shared" si="174"/>
        <v>28.000000000000004</v>
      </c>
      <c r="AV79" s="124">
        <v>0.6</v>
      </c>
      <c r="AW79" s="125">
        <f t="shared" si="188"/>
        <v>83.333333333333329</v>
      </c>
      <c r="AX79" s="125">
        <f t="shared" si="175"/>
        <v>60</v>
      </c>
      <c r="AY79" s="124">
        <v>0.6</v>
      </c>
      <c r="AZ79" s="125">
        <f t="shared" si="189"/>
        <v>83.333333333333329</v>
      </c>
      <c r="BA79" s="125">
        <f t="shared" si="176"/>
        <v>60</v>
      </c>
      <c r="BD79" s="139">
        <f t="shared" si="190"/>
        <v>140.27777777777777</v>
      </c>
      <c r="BE79" s="139">
        <f t="shared" ref="BE79:BE82" si="203">(L79+AR79)/2</f>
        <v>101</v>
      </c>
      <c r="BF79" s="139">
        <f t="shared" si="192"/>
        <v>60.416666666666671</v>
      </c>
      <c r="BG79" s="139">
        <f t="shared" ref="BG79:BG82" si="204">(O79+AU79)/2</f>
        <v>43.5</v>
      </c>
      <c r="BH79" s="139">
        <f t="shared" si="194"/>
        <v>107.63888888888889</v>
      </c>
      <c r="BI79" s="139">
        <f t="shared" si="195"/>
        <v>77.5</v>
      </c>
      <c r="BJ79" s="139">
        <f t="shared" si="196"/>
        <v>107.63888888888889</v>
      </c>
      <c r="BK79" s="139">
        <f>(U79+BA79)/2</f>
        <v>77.5</v>
      </c>
    </row>
    <row r="80" spans="1:63" ht="14.4">
      <c r="A80" s="126" t="s">
        <v>59</v>
      </c>
      <c r="B80" s="118">
        <v>31</v>
      </c>
      <c r="C80" s="118">
        <f t="shared" si="177"/>
        <v>744</v>
      </c>
      <c r="D80" s="122">
        <f t="shared" si="164"/>
        <v>79.3010752688172</v>
      </c>
      <c r="E80" s="118">
        <v>59</v>
      </c>
      <c r="H80" s="123"/>
      <c r="J80" s="124">
        <v>1.33</v>
      </c>
      <c r="K80" s="125">
        <f t="shared" si="165"/>
        <v>105.47043010752688</v>
      </c>
      <c r="L80" s="125">
        <f t="shared" si="178"/>
        <v>78.47</v>
      </c>
      <c r="M80" s="124">
        <v>0.45</v>
      </c>
      <c r="N80" s="125">
        <f t="shared" si="166"/>
        <v>35.685483870967744</v>
      </c>
      <c r="O80" s="125">
        <f t="shared" si="179"/>
        <v>26.55</v>
      </c>
      <c r="P80" s="124">
        <v>0.96</v>
      </c>
      <c r="Q80" s="125">
        <f t="shared" si="167"/>
        <v>76.129032258064512</v>
      </c>
      <c r="R80" s="125">
        <f t="shared" si="180"/>
        <v>56.64</v>
      </c>
      <c r="S80" s="124">
        <v>0.96</v>
      </c>
      <c r="T80" s="125">
        <f t="shared" si="168"/>
        <v>76.129032258064512</v>
      </c>
      <c r="U80" s="125">
        <f t="shared" si="181"/>
        <v>56.64</v>
      </c>
      <c r="X80" s="123"/>
      <c r="Y80" s="123"/>
      <c r="Z80" s="124">
        <v>1.4</v>
      </c>
      <c r="AA80" s="125">
        <f t="shared" si="198"/>
        <v>111.02150537634408</v>
      </c>
      <c r="AB80" s="125">
        <f t="shared" si="169"/>
        <v>82.6</v>
      </c>
      <c r="AC80" s="124">
        <v>0.34</v>
      </c>
      <c r="AD80" s="125">
        <f t="shared" si="199"/>
        <v>26.962365591397852</v>
      </c>
      <c r="AE80" s="125">
        <f t="shared" si="170"/>
        <v>20.060000000000002</v>
      </c>
      <c r="AF80" s="124">
        <v>0.84</v>
      </c>
      <c r="AG80" s="125">
        <f t="shared" si="200"/>
        <v>66.612903225806448</v>
      </c>
      <c r="AH80" s="125">
        <f t="shared" si="171"/>
        <v>49.559999999999995</v>
      </c>
      <c r="AI80" s="124">
        <v>0.84</v>
      </c>
      <c r="AJ80" s="125">
        <f t="shared" si="201"/>
        <v>66.612903225806448</v>
      </c>
      <c r="AK80" s="125">
        <f t="shared" si="172"/>
        <v>49.559999999999995</v>
      </c>
      <c r="AL80" s="162"/>
      <c r="AN80" s="123"/>
      <c r="AO80" s="123"/>
      <c r="AP80" s="124">
        <v>1.19</v>
      </c>
      <c r="AQ80" s="125">
        <f t="shared" si="186"/>
        <v>94.368279569892465</v>
      </c>
      <c r="AR80" s="125">
        <f t="shared" si="173"/>
        <v>70.209999999999994</v>
      </c>
      <c r="AS80" s="124">
        <v>0.3</v>
      </c>
      <c r="AT80" s="125">
        <f t="shared" si="187"/>
        <v>23.79032258064516</v>
      </c>
      <c r="AU80" s="125">
        <f t="shared" si="174"/>
        <v>17.7</v>
      </c>
      <c r="AV80" s="124">
        <v>0.63</v>
      </c>
      <c r="AW80" s="125">
        <f t="shared" si="188"/>
        <v>49.95967741935484</v>
      </c>
      <c r="AX80" s="125">
        <f t="shared" si="175"/>
        <v>37.17</v>
      </c>
      <c r="AY80" s="124">
        <v>0.63</v>
      </c>
      <c r="AZ80" s="125">
        <f t="shared" si="189"/>
        <v>49.95967741935484</v>
      </c>
      <c r="BA80" s="125">
        <f t="shared" si="176"/>
        <v>37.17</v>
      </c>
      <c r="BD80" s="139">
        <f t="shared" si="190"/>
        <v>99.919354838709666</v>
      </c>
      <c r="BE80" s="139">
        <f t="shared" si="203"/>
        <v>74.34</v>
      </c>
      <c r="BF80" s="139">
        <f t="shared" si="192"/>
        <v>29.737903225806452</v>
      </c>
      <c r="BG80" s="139">
        <f t="shared" si="204"/>
        <v>22.125</v>
      </c>
      <c r="BH80" s="139">
        <f t="shared" si="194"/>
        <v>63.04435483870968</v>
      </c>
      <c r="BI80" s="139">
        <f t="shared" si="195"/>
        <v>46.905000000000001</v>
      </c>
      <c r="BJ80" s="139">
        <f t="shared" si="196"/>
        <v>63.04435483870968</v>
      </c>
      <c r="BK80" s="139">
        <f t="shared" ref="BK80:BK82" si="205">(U80+BA80)/2</f>
        <v>46.905000000000001</v>
      </c>
    </row>
    <row r="81" spans="1:63" ht="14.4">
      <c r="A81" s="126" t="s">
        <v>60</v>
      </c>
      <c r="B81" s="118">
        <v>30</v>
      </c>
      <c r="C81" s="118">
        <f t="shared" si="177"/>
        <v>720</v>
      </c>
      <c r="D81" s="122">
        <f t="shared" si="164"/>
        <v>40.277777777777779</v>
      </c>
      <c r="E81" s="118">
        <v>29</v>
      </c>
      <c r="H81" s="123"/>
      <c r="J81" s="124">
        <v>1.52</v>
      </c>
      <c r="K81" s="125">
        <f t="shared" si="165"/>
        <v>61.222222222222221</v>
      </c>
      <c r="L81" s="125">
        <f t="shared" si="178"/>
        <v>44.08</v>
      </c>
      <c r="M81" s="124">
        <v>0.47</v>
      </c>
      <c r="N81" s="125">
        <f t="shared" si="166"/>
        <v>18.930555555555554</v>
      </c>
      <c r="O81" s="125">
        <f t="shared" si="179"/>
        <v>13.629999999999999</v>
      </c>
      <c r="P81" s="124">
        <v>0.97</v>
      </c>
      <c r="Q81" s="125">
        <f t="shared" si="167"/>
        <v>39.069444444444443</v>
      </c>
      <c r="R81" s="125">
        <f t="shared" si="180"/>
        <v>28.13</v>
      </c>
      <c r="S81" s="124">
        <v>0.97</v>
      </c>
      <c r="T81" s="125">
        <f t="shared" si="168"/>
        <v>39.069444444444443</v>
      </c>
      <c r="U81" s="125">
        <f t="shared" si="181"/>
        <v>28.13</v>
      </c>
      <c r="X81" s="123"/>
      <c r="Y81" s="123"/>
      <c r="Z81" s="124">
        <v>1.75</v>
      </c>
      <c r="AA81" s="125">
        <f t="shared" si="198"/>
        <v>70.486111111111114</v>
      </c>
      <c r="AB81" s="125">
        <f t="shared" si="169"/>
        <v>50.75</v>
      </c>
      <c r="AC81" s="124">
        <v>0.4</v>
      </c>
      <c r="AD81" s="125">
        <f t="shared" si="199"/>
        <v>16.111111111111111</v>
      </c>
      <c r="AE81" s="125">
        <f t="shared" si="170"/>
        <v>11.600000000000001</v>
      </c>
      <c r="AF81" s="124">
        <v>0.86</v>
      </c>
      <c r="AG81" s="125">
        <f t="shared" si="200"/>
        <v>34.638888888888886</v>
      </c>
      <c r="AH81" s="125">
        <f t="shared" si="171"/>
        <v>24.94</v>
      </c>
      <c r="AI81" s="124">
        <v>0.86</v>
      </c>
      <c r="AJ81" s="125">
        <f t="shared" si="201"/>
        <v>34.638888888888886</v>
      </c>
      <c r="AK81" s="125">
        <f t="shared" si="172"/>
        <v>24.94</v>
      </c>
      <c r="AL81" s="162"/>
      <c r="AN81" s="123"/>
      <c r="AO81" s="123"/>
      <c r="AP81" s="124">
        <v>1.62</v>
      </c>
      <c r="AQ81" s="125">
        <f t="shared" si="186"/>
        <v>65.25</v>
      </c>
      <c r="AR81" s="125">
        <f t="shared" si="173"/>
        <v>46.980000000000004</v>
      </c>
      <c r="AS81" s="124">
        <v>0.37</v>
      </c>
      <c r="AT81" s="125">
        <f t="shared" si="187"/>
        <v>14.902777777777779</v>
      </c>
      <c r="AU81" s="125">
        <f t="shared" si="174"/>
        <v>10.73</v>
      </c>
      <c r="AV81" s="124">
        <v>0.65</v>
      </c>
      <c r="AW81" s="125">
        <f t="shared" si="188"/>
        <v>26.180555555555557</v>
      </c>
      <c r="AX81" s="125">
        <f t="shared" si="175"/>
        <v>18.850000000000001</v>
      </c>
      <c r="AY81" s="124">
        <v>0.65</v>
      </c>
      <c r="AZ81" s="125">
        <f t="shared" si="189"/>
        <v>26.180555555555557</v>
      </c>
      <c r="BA81" s="125">
        <f t="shared" si="176"/>
        <v>18.850000000000001</v>
      </c>
      <c r="BD81" s="139">
        <f t="shared" si="190"/>
        <v>63.236111111111114</v>
      </c>
      <c r="BE81" s="139">
        <f t="shared" si="203"/>
        <v>45.53</v>
      </c>
      <c r="BF81" s="139">
        <f t="shared" si="192"/>
        <v>16.916666666666664</v>
      </c>
      <c r="BG81" s="139">
        <f t="shared" si="204"/>
        <v>12.18</v>
      </c>
      <c r="BH81" s="139">
        <f t="shared" si="194"/>
        <v>32.625</v>
      </c>
      <c r="BI81" s="139">
        <f t="shared" si="195"/>
        <v>23.490000000000002</v>
      </c>
      <c r="BJ81" s="139">
        <f t="shared" si="196"/>
        <v>32.625</v>
      </c>
      <c r="BK81" s="139">
        <f t="shared" si="205"/>
        <v>23.490000000000002</v>
      </c>
    </row>
    <row r="82" spans="1:63" ht="15" thickBot="1">
      <c r="A82" s="127" t="s">
        <v>61</v>
      </c>
      <c r="B82" s="118">
        <v>31</v>
      </c>
      <c r="C82" s="118">
        <f t="shared" si="177"/>
        <v>744</v>
      </c>
      <c r="D82" s="122">
        <f t="shared" si="164"/>
        <v>22.849462365591396</v>
      </c>
      <c r="E82" s="118">
        <v>17</v>
      </c>
      <c r="H82" s="123"/>
      <c r="J82" s="124">
        <v>1.76</v>
      </c>
      <c r="K82" s="125">
        <f t="shared" si="165"/>
        <v>40.215053763440856</v>
      </c>
      <c r="L82" s="125">
        <f t="shared" si="178"/>
        <v>29.92</v>
      </c>
      <c r="M82" s="124">
        <v>0.48</v>
      </c>
      <c r="N82" s="125">
        <f t="shared" si="166"/>
        <v>10.96774193548387</v>
      </c>
      <c r="O82" s="125">
        <f t="shared" si="179"/>
        <v>8.16</v>
      </c>
      <c r="P82" s="124">
        <v>0.99</v>
      </c>
      <c r="Q82" s="125">
        <f t="shared" si="167"/>
        <v>22.62096774193548</v>
      </c>
      <c r="R82" s="125">
        <f t="shared" si="180"/>
        <v>16.829999999999998</v>
      </c>
      <c r="S82" s="124">
        <v>0.99</v>
      </c>
      <c r="T82" s="125">
        <f t="shared" si="168"/>
        <v>22.62096774193548</v>
      </c>
      <c r="U82" s="125">
        <f t="shared" si="181"/>
        <v>16.829999999999998</v>
      </c>
      <c r="X82" s="123"/>
      <c r="Y82" s="123"/>
      <c r="Z82" s="124">
        <v>2.15</v>
      </c>
      <c r="AA82" s="125">
        <f t="shared" si="198"/>
        <v>49.126344086021497</v>
      </c>
      <c r="AB82" s="125">
        <f t="shared" si="169"/>
        <v>36.549999999999997</v>
      </c>
      <c r="AC82" s="124">
        <v>0.46</v>
      </c>
      <c r="AD82" s="125">
        <f t="shared" si="199"/>
        <v>10.510752688172042</v>
      </c>
      <c r="AE82" s="125">
        <f t="shared" si="170"/>
        <v>7.82</v>
      </c>
      <c r="AF82" s="124">
        <v>0.9</v>
      </c>
      <c r="AG82" s="125">
        <f t="shared" si="200"/>
        <v>20.564516129032256</v>
      </c>
      <c r="AH82" s="125">
        <f t="shared" si="171"/>
        <v>15.3</v>
      </c>
      <c r="AI82" s="124">
        <v>0.9</v>
      </c>
      <c r="AJ82" s="125">
        <f t="shared" si="201"/>
        <v>20.564516129032256</v>
      </c>
      <c r="AK82" s="125">
        <f t="shared" si="172"/>
        <v>15.3</v>
      </c>
      <c r="AL82" s="162"/>
      <c r="AN82" s="123"/>
      <c r="AO82" s="123"/>
      <c r="AP82" s="124">
        <v>2.19</v>
      </c>
      <c r="AQ82" s="125">
        <f t="shared" si="186"/>
        <v>50.040322580645153</v>
      </c>
      <c r="AR82" s="125">
        <f t="shared" si="173"/>
        <v>37.229999999999997</v>
      </c>
      <c r="AS82" s="124">
        <v>0.46</v>
      </c>
      <c r="AT82" s="125">
        <f t="shared" si="187"/>
        <v>10.510752688172042</v>
      </c>
      <c r="AU82" s="125">
        <f t="shared" si="174"/>
        <v>7.82</v>
      </c>
      <c r="AV82" s="124">
        <v>0.77</v>
      </c>
      <c r="AW82" s="125">
        <f t="shared" si="188"/>
        <v>17.594086021505376</v>
      </c>
      <c r="AX82" s="125">
        <f t="shared" si="175"/>
        <v>13.09</v>
      </c>
      <c r="AY82" s="124">
        <v>0.77</v>
      </c>
      <c r="AZ82" s="125">
        <f t="shared" si="189"/>
        <v>17.594086021505376</v>
      </c>
      <c r="BA82" s="125">
        <f t="shared" si="176"/>
        <v>13.09</v>
      </c>
      <c r="BD82" s="139">
        <f t="shared" si="190"/>
        <v>45.127688172043008</v>
      </c>
      <c r="BE82" s="139">
        <f t="shared" si="203"/>
        <v>33.575000000000003</v>
      </c>
      <c r="BF82" s="139">
        <f t="shared" si="192"/>
        <v>10.739247311827956</v>
      </c>
      <c r="BG82" s="139">
        <f t="shared" si="204"/>
        <v>7.99</v>
      </c>
      <c r="BH82" s="139">
        <f t="shared" si="194"/>
        <v>20.107526881720428</v>
      </c>
      <c r="BI82" s="139">
        <f t="shared" si="195"/>
        <v>14.959999999999999</v>
      </c>
      <c r="BJ82" s="139">
        <f t="shared" si="196"/>
        <v>20.107526881720428</v>
      </c>
      <c r="BK82" s="139">
        <f t="shared" si="205"/>
        <v>14.959999999999999</v>
      </c>
    </row>
    <row r="85" spans="1:63">
      <c r="A85" s="128" t="s">
        <v>201</v>
      </c>
      <c r="B85" s="120" t="s">
        <v>172</v>
      </c>
      <c r="C85" s="120" t="s">
        <v>173</v>
      </c>
      <c r="E85" s="120" t="s">
        <v>174</v>
      </c>
      <c r="F85" s="120"/>
      <c r="G85" s="120"/>
      <c r="J85" s="305" t="s">
        <v>177</v>
      </c>
      <c r="K85" s="306"/>
      <c r="L85" s="307"/>
      <c r="M85" s="305" t="s">
        <v>178</v>
      </c>
      <c r="N85" s="306"/>
      <c r="O85" s="307"/>
      <c r="P85" s="305" t="s">
        <v>179</v>
      </c>
      <c r="Q85" s="306"/>
      <c r="R85" s="306"/>
      <c r="S85" s="308" t="s">
        <v>180</v>
      </c>
      <c r="T85" s="308"/>
      <c r="U85" s="308"/>
      <c r="Z85" s="305" t="s">
        <v>177</v>
      </c>
      <c r="AA85" s="306"/>
      <c r="AB85" s="307"/>
      <c r="AC85" s="305" t="s">
        <v>178</v>
      </c>
      <c r="AD85" s="306"/>
      <c r="AE85" s="307"/>
      <c r="AF85" s="305" t="s">
        <v>179</v>
      </c>
      <c r="AG85" s="306"/>
      <c r="AH85" s="306"/>
      <c r="AI85" s="308" t="s">
        <v>180</v>
      </c>
      <c r="AJ85" s="308"/>
      <c r="AK85" s="308"/>
      <c r="AL85" s="128"/>
      <c r="AP85" s="305" t="s">
        <v>177</v>
      </c>
      <c r="AQ85" s="306"/>
      <c r="AR85" s="307"/>
      <c r="AS85" s="305" t="s">
        <v>178</v>
      </c>
      <c r="AT85" s="306"/>
      <c r="AU85" s="307"/>
      <c r="AV85" s="305" t="s">
        <v>179</v>
      </c>
      <c r="AW85" s="306"/>
      <c r="AX85" s="306"/>
      <c r="AY85" s="308" t="s">
        <v>180</v>
      </c>
      <c r="AZ85" s="308"/>
      <c r="BA85" s="308"/>
      <c r="BD85" s="310" t="s">
        <v>177</v>
      </c>
      <c r="BE85" s="311"/>
      <c r="BF85" s="310" t="s">
        <v>178</v>
      </c>
      <c r="BG85" s="311"/>
      <c r="BH85" s="310" t="s">
        <v>181</v>
      </c>
      <c r="BI85" s="311"/>
      <c r="BJ85" s="308" t="s">
        <v>180</v>
      </c>
      <c r="BK85" s="308"/>
    </row>
    <row r="86" spans="1:63" ht="13.8" thickBot="1">
      <c r="D86" s="118" t="s">
        <v>176</v>
      </c>
      <c r="E86" s="118" t="s">
        <v>175</v>
      </c>
      <c r="J86" s="117" t="s">
        <v>205</v>
      </c>
      <c r="K86" s="117" t="s">
        <v>176</v>
      </c>
      <c r="L86" s="117" t="s">
        <v>175</v>
      </c>
      <c r="M86" s="117" t="s">
        <v>205</v>
      </c>
      <c r="N86" s="117" t="s">
        <v>176</v>
      </c>
      <c r="O86" s="117" t="s">
        <v>175</v>
      </c>
      <c r="P86" s="117" t="s">
        <v>205</v>
      </c>
      <c r="Q86" s="117" t="s">
        <v>176</v>
      </c>
      <c r="R86" s="117" t="s">
        <v>175</v>
      </c>
      <c r="S86" s="137" t="s">
        <v>205</v>
      </c>
      <c r="T86" s="137" t="s">
        <v>176</v>
      </c>
      <c r="U86" s="137" t="s">
        <v>175</v>
      </c>
      <c r="Z86" s="117" t="s">
        <v>205</v>
      </c>
      <c r="AA86" s="117" t="s">
        <v>176</v>
      </c>
      <c r="AB86" s="117" t="s">
        <v>175</v>
      </c>
      <c r="AC86" s="117" t="s">
        <v>205</v>
      </c>
      <c r="AD86" s="117" t="s">
        <v>176</v>
      </c>
      <c r="AE86" s="117" t="s">
        <v>175</v>
      </c>
      <c r="AF86" s="117" t="s">
        <v>205</v>
      </c>
      <c r="AG86" s="117" t="s">
        <v>176</v>
      </c>
      <c r="AH86" s="117" t="s">
        <v>175</v>
      </c>
      <c r="AI86" s="137" t="s">
        <v>205</v>
      </c>
      <c r="AJ86" s="137" t="s">
        <v>176</v>
      </c>
      <c r="AK86" s="137" t="s">
        <v>175</v>
      </c>
      <c r="AP86" s="117" t="s">
        <v>205</v>
      </c>
      <c r="AQ86" s="117" t="s">
        <v>176</v>
      </c>
      <c r="AR86" s="117" t="s">
        <v>175</v>
      </c>
      <c r="AS86" s="117" t="s">
        <v>205</v>
      </c>
      <c r="AT86" s="117" t="s">
        <v>176</v>
      </c>
      <c r="AU86" s="117" t="s">
        <v>175</v>
      </c>
      <c r="AV86" s="117" t="s">
        <v>205</v>
      </c>
      <c r="AW86" s="117" t="s">
        <v>176</v>
      </c>
      <c r="AX86" s="117" t="s">
        <v>175</v>
      </c>
      <c r="AY86" s="137" t="s">
        <v>205</v>
      </c>
      <c r="AZ86" s="137" t="s">
        <v>176</v>
      </c>
      <c r="BA86" s="137" t="s">
        <v>175</v>
      </c>
      <c r="BD86" s="137" t="s">
        <v>176</v>
      </c>
      <c r="BE86" s="137" t="s">
        <v>175</v>
      </c>
      <c r="BF86" s="137" t="s">
        <v>176</v>
      </c>
      <c r="BG86" s="137" t="s">
        <v>175</v>
      </c>
      <c r="BH86" s="137" t="s">
        <v>176</v>
      </c>
      <c r="BI86" s="137" t="s">
        <v>175</v>
      </c>
      <c r="BJ86" s="137" t="s">
        <v>176</v>
      </c>
      <c r="BK86" s="137" t="s">
        <v>175</v>
      </c>
    </row>
    <row r="87" spans="1:63" ht="14.4">
      <c r="A87" s="121" t="s">
        <v>55</v>
      </c>
      <c r="B87" s="118">
        <v>31</v>
      </c>
      <c r="C87" s="118">
        <f>B87*24</f>
        <v>744</v>
      </c>
      <c r="D87" s="122">
        <f t="shared" ref="D87:D98" si="206">E87*1000/C87</f>
        <v>37.634408602150536</v>
      </c>
      <c r="E87" s="118">
        <v>28</v>
      </c>
      <c r="H87" s="123"/>
      <c r="J87" s="124">
        <v>1.61</v>
      </c>
      <c r="K87" s="125">
        <f t="shared" ref="K87:K98" si="207">J87*D87</f>
        <v>60.591397849462368</v>
      </c>
      <c r="L87" s="125">
        <f>$E87*J87</f>
        <v>45.080000000000005</v>
      </c>
      <c r="M87" s="124">
        <v>0.52</v>
      </c>
      <c r="N87" s="125">
        <f t="shared" ref="N87:N98" si="208">M87*D87</f>
        <v>19.56989247311828</v>
      </c>
      <c r="O87" s="125">
        <f>$E87*M87</f>
        <v>14.56</v>
      </c>
      <c r="P87" s="124">
        <v>1</v>
      </c>
      <c r="Q87" s="125">
        <f t="shared" ref="Q87:Q98" si="209">P87*D87</f>
        <v>37.634408602150536</v>
      </c>
      <c r="R87" s="125">
        <f>$E87*P87</f>
        <v>28</v>
      </c>
      <c r="S87" s="124">
        <v>1</v>
      </c>
      <c r="T87" s="125">
        <f t="shared" ref="T87:T98" si="210">S87*D87</f>
        <v>37.634408602150536</v>
      </c>
      <c r="U87" s="125">
        <f>$E87*S87</f>
        <v>28</v>
      </c>
      <c r="X87" s="123"/>
      <c r="Y87" s="123"/>
      <c r="Z87" s="124">
        <v>1.94</v>
      </c>
      <c r="AA87" s="125">
        <f>Z87*$D87</f>
        <v>73.010752688172033</v>
      </c>
      <c r="AB87" s="125">
        <f t="shared" ref="AB87:AB98" si="211">$E87*Z87</f>
        <v>54.32</v>
      </c>
      <c r="AC87" s="124">
        <v>0.51</v>
      </c>
      <c r="AD87" s="125">
        <f>AC87*$D87</f>
        <v>19.193548387096772</v>
      </c>
      <c r="AE87" s="125">
        <f t="shared" ref="AE87:AE98" si="212">$E87*AC87</f>
        <v>14.280000000000001</v>
      </c>
      <c r="AF87" s="124">
        <v>0.95</v>
      </c>
      <c r="AG87" s="125">
        <f>AF87*$D87</f>
        <v>35.752688172043008</v>
      </c>
      <c r="AH87" s="125">
        <f t="shared" ref="AH87:AH98" si="213">$E87*AF87</f>
        <v>26.599999999999998</v>
      </c>
      <c r="AI87" s="124">
        <v>0.95</v>
      </c>
      <c r="AJ87" s="125">
        <f>AI87*$D87</f>
        <v>35.752688172043008</v>
      </c>
      <c r="AK87" s="125">
        <f t="shared" ref="AK87:AK98" si="214">$E87*AI87</f>
        <v>26.599999999999998</v>
      </c>
      <c r="AL87" s="162"/>
      <c r="AN87" s="123"/>
      <c r="AO87" s="123"/>
      <c r="AP87" s="124">
        <v>1.92</v>
      </c>
      <c r="AQ87" s="125">
        <f>AP87*$D87</f>
        <v>72.258064516129025</v>
      </c>
      <c r="AR87" s="125">
        <f t="shared" ref="AR87:AR98" si="215">$E87*AP87</f>
        <v>53.76</v>
      </c>
      <c r="AS87" s="124">
        <v>0.55000000000000004</v>
      </c>
      <c r="AT87" s="125">
        <f>AS87*$D87</f>
        <v>20.698924731182796</v>
      </c>
      <c r="AU87" s="125">
        <f t="shared" ref="AU87:AU98" si="216">$E87*AS87</f>
        <v>15.400000000000002</v>
      </c>
      <c r="AV87" s="124">
        <v>0.85</v>
      </c>
      <c r="AW87" s="125">
        <f>AV87*$D87</f>
        <v>31.989247311827956</v>
      </c>
      <c r="AX87" s="125">
        <f t="shared" ref="AX87:AX98" si="217">$E87*AV87</f>
        <v>23.8</v>
      </c>
      <c r="AY87" s="124">
        <v>0.85</v>
      </c>
      <c r="AZ87" s="125">
        <f>AY87*$D87</f>
        <v>31.989247311827956</v>
      </c>
      <c r="BA87" s="125">
        <f t="shared" ref="BA87:BA98" si="218">$E87*AY87</f>
        <v>23.8</v>
      </c>
      <c r="BD87" s="139">
        <f>(K87+AQ87)/2</f>
        <v>66.424731182795696</v>
      </c>
      <c r="BE87" s="139">
        <f>(L87+AR87)/2</f>
        <v>49.42</v>
      </c>
      <c r="BF87" s="139">
        <f>(N87+AT87)/2</f>
        <v>20.134408602150536</v>
      </c>
      <c r="BG87" s="139">
        <f>(O87+AU87)/2</f>
        <v>14.98</v>
      </c>
      <c r="BH87" s="139">
        <f>(Q87+AW87)/2</f>
        <v>34.811827956989248</v>
      </c>
      <c r="BI87" s="139">
        <f>(R87+AX87)/2</f>
        <v>25.9</v>
      </c>
      <c r="BJ87" s="139">
        <f>(T87+AZ87)/2</f>
        <v>34.811827956989248</v>
      </c>
      <c r="BK87" s="139">
        <f>(U87+BA87)/2</f>
        <v>25.9</v>
      </c>
    </row>
    <row r="88" spans="1:63" ht="14.4">
      <c r="A88" s="126" t="s">
        <v>56</v>
      </c>
      <c r="B88" s="118">
        <v>28</v>
      </c>
      <c r="C88" s="118">
        <f t="shared" ref="C88:C98" si="219">B88*24</f>
        <v>672</v>
      </c>
      <c r="D88" s="122">
        <f t="shared" si="206"/>
        <v>75.892857142857139</v>
      </c>
      <c r="E88" s="118">
        <v>51</v>
      </c>
      <c r="H88" s="123"/>
      <c r="J88" s="124">
        <v>1.45</v>
      </c>
      <c r="K88" s="125">
        <f t="shared" si="207"/>
        <v>110.04464285714285</v>
      </c>
      <c r="L88" s="125">
        <f t="shared" ref="L88:L98" si="220">$E88*J88</f>
        <v>73.95</v>
      </c>
      <c r="M88" s="124">
        <v>0.45</v>
      </c>
      <c r="N88" s="125">
        <f t="shared" si="208"/>
        <v>34.151785714285715</v>
      </c>
      <c r="O88" s="125">
        <f t="shared" ref="O88:O98" si="221">$E88*M88</f>
        <v>22.95</v>
      </c>
      <c r="P88" s="124">
        <v>0.98</v>
      </c>
      <c r="Q88" s="125">
        <f t="shared" si="209"/>
        <v>74.375</v>
      </c>
      <c r="R88" s="125">
        <f t="shared" ref="R88:R98" si="222">$E88*P88</f>
        <v>49.98</v>
      </c>
      <c r="S88" s="124">
        <v>0.98</v>
      </c>
      <c r="T88" s="125">
        <f t="shared" si="210"/>
        <v>74.375</v>
      </c>
      <c r="U88" s="125">
        <f t="shared" ref="U88:U98" si="223">$E88*S88</f>
        <v>49.98</v>
      </c>
      <c r="X88" s="123"/>
      <c r="Y88" s="123"/>
      <c r="Z88" s="124">
        <v>1.64</v>
      </c>
      <c r="AA88" s="125">
        <f t="shared" ref="AA88:AA89" si="224">Z88*$D88</f>
        <v>124.46428571428569</v>
      </c>
      <c r="AB88" s="125">
        <f t="shared" si="211"/>
        <v>83.64</v>
      </c>
      <c r="AC88" s="124">
        <v>0.44</v>
      </c>
      <c r="AD88" s="125">
        <f t="shared" ref="AD88:AD89" si="225">AC88*$D88</f>
        <v>33.392857142857139</v>
      </c>
      <c r="AE88" s="125">
        <f t="shared" si="212"/>
        <v>22.44</v>
      </c>
      <c r="AF88" s="124">
        <v>0.92</v>
      </c>
      <c r="AG88" s="125">
        <f t="shared" ref="AG88:AG89" si="226">AF88*$D88</f>
        <v>69.821428571428569</v>
      </c>
      <c r="AH88" s="125">
        <f t="shared" si="213"/>
        <v>46.92</v>
      </c>
      <c r="AI88" s="124">
        <v>0.92</v>
      </c>
      <c r="AJ88" s="125">
        <f t="shared" ref="AJ88:AJ89" si="227">AI88*$D88</f>
        <v>69.821428571428569</v>
      </c>
      <c r="AK88" s="125">
        <f t="shared" si="214"/>
        <v>46.92</v>
      </c>
      <c r="AL88" s="162"/>
      <c r="AN88" s="123"/>
      <c r="AO88" s="123"/>
      <c r="AP88" s="124">
        <v>1.54</v>
      </c>
      <c r="AQ88" s="125">
        <f t="shared" ref="AQ88:AQ98" si="228">AP88*$D88</f>
        <v>116.875</v>
      </c>
      <c r="AR88" s="125">
        <f t="shared" si="215"/>
        <v>78.540000000000006</v>
      </c>
      <c r="AS88" s="124">
        <v>0.47</v>
      </c>
      <c r="AT88" s="125">
        <f t="shared" ref="AT88:AT98" si="229">AS88*$D88</f>
        <v>35.669642857142854</v>
      </c>
      <c r="AU88" s="125">
        <f t="shared" si="216"/>
        <v>23.97</v>
      </c>
      <c r="AV88" s="124">
        <v>0.8</v>
      </c>
      <c r="AW88" s="125">
        <f t="shared" ref="AW88:AW98" si="230">AV88*$D88</f>
        <v>60.714285714285715</v>
      </c>
      <c r="AX88" s="125">
        <f t="shared" si="217"/>
        <v>40.800000000000004</v>
      </c>
      <c r="AY88" s="124">
        <v>0.8</v>
      </c>
      <c r="AZ88" s="125">
        <f t="shared" ref="AZ88:AZ98" si="231">AY88*$D88</f>
        <v>60.714285714285715</v>
      </c>
      <c r="BA88" s="125">
        <f t="shared" si="218"/>
        <v>40.800000000000004</v>
      </c>
      <c r="BD88" s="139">
        <f t="shared" ref="BD88:BD98" si="232">(K88+AQ88)/2</f>
        <v>113.45982142857142</v>
      </c>
      <c r="BE88" s="139">
        <f t="shared" ref="BE88:BE93" si="233">(L88+AR88)/2</f>
        <v>76.245000000000005</v>
      </c>
      <c r="BF88" s="139">
        <f t="shared" ref="BF88:BF98" si="234">(N88+AT88)/2</f>
        <v>34.910714285714285</v>
      </c>
      <c r="BG88" s="139">
        <f t="shared" ref="BG88:BG93" si="235">(O88+AU88)/2</f>
        <v>23.46</v>
      </c>
      <c r="BH88" s="139">
        <f t="shared" ref="BH88:BH98" si="236">(Q88+AW88)/2</f>
        <v>67.544642857142861</v>
      </c>
      <c r="BI88" s="139">
        <f t="shared" ref="BI88:BI98" si="237">(R88+AX88)/2</f>
        <v>45.39</v>
      </c>
      <c r="BJ88" s="139">
        <f t="shared" ref="BJ88:BJ98" si="238">(T88+AZ88)/2</f>
        <v>67.544642857142861</v>
      </c>
      <c r="BK88" s="139">
        <f t="shared" ref="BK88:BK91" si="239">(U88+BA88)/2</f>
        <v>45.39</v>
      </c>
    </row>
    <row r="89" spans="1:63" ht="14.4">
      <c r="A89" s="126" t="s">
        <v>57</v>
      </c>
      <c r="B89" s="118">
        <v>31</v>
      </c>
      <c r="C89" s="118">
        <f t="shared" si="219"/>
        <v>744</v>
      </c>
      <c r="D89" s="122">
        <f t="shared" si="206"/>
        <v>115.59139784946237</v>
      </c>
      <c r="E89" s="118">
        <v>86</v>
      </c>
      <c r="H89" s="123"/>
      <c r="J89" s="124">
        <v>1.25</v>
      </c>
      <c r="K89" s="125">
        <f t="shared" si="207"/>
        <v>144.48924731182797</v>
      </c>
      <c r="L89" s="125">
        <f t="shared" si="220"/>
        <v>107.5</v>
      </c>
      <c r="M89" s="124">
        <v>0.52</v>
      </c>
      <c r="N89" s="125">
        <f t="shared" si="208"/>
        <v>60.107526881720432</v>
      </c>
      <c r="O89" s="125">
        <f t="shared" si="221"/>
        <v>44.72</v>
      </c>
      <c r="P89" s="124">
        <v>0.96</v>
      </c>
      <c r="Q89" s="125">
        <f t="shared" si="209"/>
        <v>110.96774193548387</v>
      </c>
      <c r="R89" s="125">
        <f t="shared" si="222"/>
        <v>82.56</v>
      </c>
      <c r="S89" s="124">
        <v>0.96</v>
      </c>
      <c r="T89" s="125">
        <f t="shared" si="210"/>
        <v>110.96774193548387</v>
      </c>
      <c r="U89" s="125">
        <f t="shared" si="223"/>
        <v>82.56</v>
      </c>
      <c r="X89" s="123"/>
      <c r="Y89" s="123"/>
      <c r="Z89" s="124">
        <v>1.28</v>
      </c>
      <c r="AA89" s="125">
        <f t="shared" si="224"/>
        <v>147.95698924731184</v>
      </c>
      <c r="AB89" s="125">
        <f t="shared" si="211"/>
        <v>110.08</v>
      </c>
      <c r="AC89" s="124">
        <v>0.35</v>
      </c>
      <c r="AD89" s="125">
        <f t="shared" si="225"/>
        <v>40.456989247311824</v>
      </c>
      <c r="AE89" s="125">
        <f t="shared" si="212"/>
        <v>30.099999999999998</v>
      </c>
      <c r="AF89" s="124">
        <v>0.85</v>
      </c>
      <c r="AG89" s="125">
        <f t="shared" si="226"/>
        <v>98.252688172043008</v>
      </c>
      <c r="AH89" s="125">
        <f t="shared" si="213"/>
        <v>73.099999999999994</v>
      </c>
      <c r="AI89" s="124">
        <v>0.85</v>
      </c>
      <c r="AJ89" s="125">
        <f t="shared" si="227"/>
        <v>98.252688172043008</v>
      </c>
      <c r="AK89" s="125">
        <f t="shared" si="214"/>
        <v>73.099999999999994</v>
      </c>
      <c r="AL89" s="162"/>
      <c r="AN89" s="123"/>
      <c r="AO89" s="123"/>
      <c r="AP89" s="124">
        <v>1.06</v>
      </c>
      <c r="AQ89" s="125">
        <f t="shared" si="228"/>
        <v>122.52688172043011</v>
      </c>
      <c r="AR89" s="125">
        <f t="shared" si="215"/>
        <v>91.160000000000011</v>
      </c>
      <c r="AS89" s="124">
        <v>0.34</v>
      </c>
      <c r="AT89" s="125">
        <f t="shared" si="229"/>
        <v>39.301075268817208</v>
      </c>
      <c r="AU89" s="125">
        <f t="shared" si="216"/>
        <v>29.240000000000002</v>
      </c>
      <c r="AV89" s="124">
        <v>0.67</v>
      </c>
      <c r="AW89" s="125">
        <f t="shared" si="230"/>
        <v>77.446236559139791</v>
      </c>
      <c r="AX89" s="125">
        <f t="shared" si="217"/>
        <v>57.620000000000005</v>
      </c>
      <c r="AY89" s="124">
        <v>0.67</v>
      </c>
      <c r="AZ89" s="125">
        <f t="shared" si="231"/>
        <v>77.446236559139791</v>
      </c>
      <c r="BA89" s="125">
        <f t="shared" si="218"/>
        <v>57.620000000000005</v>
      </c>
      <c r="BD89" s="139">
        <f t="shared" si="232"/>
        <v>133.50806451612902</v>
      </c>
      <c r="BE89" s="139">
        <f t="shared" si="233"/>
        <v>99.330000000000013</v>
      </c>
      <c r="BF89" s="139">
        <f t="shared" si="234"/>
        <v>49.704301075268816</v>
      </c>
      <c r="BG89" s="139">
        <f t="shared" si="235"/>
        <v>36.980000000000004</v>
      </c>
      <c r="BH89" s="139">
        <f t="shared" si="236"/>
        <v>94.206989247311839</v>
      </c>
      <c r="BI89" s="139">
        <f t="shared" si="237"/>
        <v>70.09</v>
      </c>
      <c r="BJ89" s="139">
        <f t="shared" si="238"/>
        <v>94.206989247311839</v>
      </c>
      <c r="BK89" s="139">
        <f t="shared" si="239"/>
        <v>70.09</v>
      </c>
    </row>
    <row r="90" spans="1:63" ht="14.4">
      <c r="A90" s="126" t="s">
        <v>58</v>
      </c>
      <c r="B90" s="118">
        <v>30</v>
      </c>
      <c r="C90" s="118">
        <f t="shared" si="219"/>
        <v>720</v>
      </c>
      <c r="D90" s="122">
        <f t="shared" si="206"/>
        <v>176.38888888888889</v>
      </c>
      <c r="E90" s="118">
        <v>127</v>
      </c>
      <c r="H90" s="123"/>
      <c r="J90" s="124">
        <v>1.0900000000000001</v>
      </c>
      <c r="K90" s="125">
        <f t="shared" si="207"/>
        <v>192.26388888888889</v>
      </c>
      <c r="L90" s="125">
        <f t="shared" si="220"/>
        <v>138.43</v>
      </c>
      <c r="M90" s="124">
        <v>0.68</v>
      </c>
      <c r="N90" s="125">
        <f t="shared" si="208"/>
        <v>119.94444444444446</v>
      </c>
      <c r="O90" s="125">
        <f t="shared" si="221"/>
        <v>86.36</v>
      </c>
      <c r="P90" s="124">
        <v>0.94</v>
      </c>
      <c r="Q90" s="125">
        <f t="shared" si="209"/>
        <v>165.80555555555554</v>
      </c>
      <c r="R90" s="125">
        <f t="shared" si="222"/>
        <v>119.38</v>
      </c>
      <c r="S90" s="124">
        <v>0.94</v>
      </c>
      <c r="T90" s="125">
        <f t="shared" si="210"/>
        <v>165.80555555555554</v>
      </c>
      <c r="U90" s="125">
        <f t="shared" si="223"/>
        <v>119.38</v>
      </c>
      <c r="X90" s="123"/>
      <c r="Y90" s="123"/>
      <c r="Z90" s="124">
        <v>0.99</v>
      </c>
      <c r="AA90" s="125">
        <f>Z90*$D90</f>
        <v>174.625</v>
      </c>
      <c r="AB90" s="125">
        <f t="shared" si="211"/>
        <v>125.73</v>
      </c>
      <c r="AC90" s="124">
        <v>0.34</v>
      </c>
      <c r="AD90" s="125">
        <f>AC90*$D90</f>
        <v>59.972222222222229</v>
      </c>
      <c r="AE90" s="125">
        <f t="shared" si="212"/>
        <v>43.18</v>
      </c>
      <c r="AF90" s="124">
        <v>0.81</v>
      </c>
      <c r="AG90" s="125">
        <f>AF90*$D90</f>
        <v>142.875</v>
      </c>
      <c r="AH90" s="125">
        <f t="shared" si="213"/>
        <v>102.87</v>
      </c>
      <c r="AI90" s="124">
        <v>0.81</v>
      </c>
      <c r="AJ90" s="125">
        <f>AI90*$D90</f>
        <v>142.875</v>
      </c>
      <c r="AK90" s="125">
        <f t="shared" si="214"/>
        <v>102.87</v>
      </c>
      <c r="AL90" s="162"/>
      <c r="AN90" s="123"/>
      <c r="AO90" s="123"/>
      <c r="AP90" s="124">
        <v>0.72</v>
      </c>
      <c r="AQ90" s="125">
        <f>AP90*$D90</f>
        <v>127</v>
      </c>
      <c r="AR90" s="125">
        <f t="shared" si="215"/>
        <v>91.44</v>
      </c>
      <c r="AS90" s="124">
        <v>0.3</v>
      </c>
      <c r="AT90" s="125">
        <f>AS90*$D90</f>
        <v>52.916666666666664</v>
      </c>
      <c r="AU90" s="125">
        <f t="shared" si="216"/>
        <v>38.1</v>
      </c>
      <c r="AV90" s="124">
        <v>0.59</v>
      </c>
      <c r="AW90" s="125">
        <f>AV90*$D90</f>
        <v>104.06944444444444</v>
      </c>
      <c r="AX90" s="125">
        <f t="shared" si="217"/>
        <v>74.929999999999993</v>
      </c>
      <c r="AY90" s="124">
        <v>0.59</v>
      </c>
      <c r="AZ90" s="125">
        <f>AY90*$D90</f>
        <v>104.06944444444444</v>
      </c>
      <c r="BA90" s="125">
        <f t="shared" si="218"/>
        <v>74.929999999999993</v>
      </c>
      <c r="BD90" s="139">
        <f t="shared" si="232"/>
        <v>159.63194444444446</v>
      </c>
      <c r="BE90" s="139">
        <f t="shared" si="233"/>
        <v>114.935</v>
      </c>
      <c r="BF90" s="139">
        <f t="shared" si="234"/>
        <v>86.430555555555557</v>
      </c>
      <c r="BG90" s="139">
        <f t="shared" si="235"/>
        <v>62.230000000000004</v>
      </c>
      <c r="BH90" s="139">
        <f t="shared" si="236"/>
        <v>134.9375</v>
      </c>
      <c r="BI90" s="139">
        <f t="shared" si="237"/>
        <v>97.155000000000001</v>
      </c>
      <c r="BJ90" s="139">
        <f t="shared" si="238"/>
        <v>134.9375</v>
      </c>
      <c r="BK90" s="139">
        <f t="shared" si="239"/>
        <v>97.155000000000001</v>
      </c>
    </row>
    <row r="91" spans="1:63" ht="14.4">
      <c r="A91" s="126" t="s">
        <v>183</v>
      </c>
      <c r="B91" s="118">
        <v>31</v>
      </c>
      <c r="C91" s="118">
        <f t="shared" si="219"/>
        <v>744</v>
      </c>
      <c r="D91" s="122">
        <f t="shared" si="206"/>
        <v>201.61290322580646</v>
      </c>
      <c r="E91" s="118">
        <v>150</v>
      </c>
      <c r="H91" s="123"/>
      <c r="J91" s="124">
        <v>1.01</v>
      </c>
      <c r="K91" s="125">
        <f t="shared" si="207"/>
        <v>203.62903225806454</v>
      </c>
      <c r="L91" s="125">
        <f t="shared" si="220"/>
        <v>151.5</v>
      </c>
      <c r="M91" s="124">
        <v>0.79</v>
      </c>
      <c r="N91" s="125">
        <f t="shared" si="208"/>
        <v>159.2741935483871</v>
      </c>
      <c r="O91" s="125">
        <f t="shared" si="221"/>
        <v>118.5</v>
      </c>
      <c r="P91" s="124">
        <v>0.94</v>
      </c>
      <c r="Q91" s="125">
        <f t="shared" si="209"/>
        <v>189.51612903225808</v>
      </c>
      <c r="R91" s="125">
        <f t="shared" si="222"/>
        <v>141</v>
      </c>
      <c r="S91" s="124">
        <v>0.94</v>
      </c>
      <c r="T91" s="125">
        <f t="shared" si="210"/>
        <v>189.51612903225808</v>
      </c>
      <c r="U91" s="125">
        <f t="shared" si="223"/>
        <v>141</v>
      </c>
      <c r="X91" s="123"/>
      <c r="Y91" s="123"/>
      <c r="Z91" s="124">
        <v>0.84</v>
      </c>
      <c r="AA91" s="125">
        <f t="shared" ref="AA91:AA98" si="240">Z91*$D91</f>
        <v>169.35483870967741</v>
      </c>
      <c r="AB91" s="125">
        <f t="shared" si="211"/>
        <v>126</v>
      </c>
      <c r="AC91" s="124">
        <v>0.4</v>
      </c>
      <c r="AD91" s="125">
        <f t="shared" ref="AD91:AD98" si="241">AC91*$D91</f>
        <v>80.645161290322591</v>
      </c>
      <c r="AE91" s="125">
        <f t="shared" si="212"/>
        <v>60</v>
      </c>
      <c r="AF91" s="124">
        <v>0.79</v>
      </c>
      <c r="AG91" s="125">
        <f t="shared" ref="AG91:AG98" si="242">AF91*$D91</f>
        <v>159.2741935483871</v>
      </c>
      <c r="AH91" s="125">
        <f t="shared" si="213"/>
        <v>118.5</v>
      </c>
      <c r="AI91" s="124">
        <v>0.79</v>
      </c>
      <c r="AJ91" s="125">
        <f t="shared" ref="AJ91:AJ98" si="243">AI91*$D91</f>
        <v>159.2741935483871</v>
      </c>
      <c r="AK91" s="125">
        <f t="shared" si="214"/>
        <v>118.5</v>
      </c>
      <c r="AL91" s="162"/>
      <c r="AN91" s="123"/>
      <c r="AO91" s="123"/>
      <c r="AP91" s="124">
        <v>0.55000000000000004</v>
      </c>
      <c r="AQ91" s="125">
        <f t="shared" si="228"/>
        <v>110.88709677419357</v>
      </c>
      <c r="AR91" s="125">
        <f t="shared" si="215"/>
        <v>82.5</v>
      </c>
      <c r="AS91" s="124">
        <v>0.3</v>
      </c>
      <c r="AT91" s="125">
        <f t="shared" si="229"/>
        <v>60.483870967741936</v>
      </c>
      <c r="AU91" s="125">
        <f t="shared" si="216"/>
        <v>45</v>
      </c>
      <c r="AV91" s="124">
        <v>0.56000000000000005</v>
      </c>
      <c r="AW91" s="125">
        <f t="shared" si="230"/>
        <v>112.90322580645163</v>
      </c>
      <c r="AX91" s="125">
        <f t="shared" si="217"/>
        <v>84.000000000000014</v>
      </c>
      <c r="AY91" s="124">
        <v>0.56000000000000005</v>
      </c>
      <c r="AZ91" s="125">
        <f t="shared" si="231"/>
        <v>112.90322580645163</v>
      </c>
      <c r="BA91" s="125">
        <f t="shared" si="218"/>
        <v>84.000000000000014</v>
      </c>
      <c r="BC91" s="117" t="s">
        <v>188</v>
      </c>
      <c r="BD91" s="139">
        <f t="shared" si="232"/>
        <v>157.25806451612905</v>
      </c>
      <c r="BE91" s="139">
        <f t="shared" si="233"/>
        <v>117</v>
      </c>
      <c r="BF91" s="139">
        <f t="shared" si="234"/>
        <v>109.87903225806451</v>
      </c>
      <c r="BG91" s="139">
        <f t="shared" si="235"/>
        <v>81.75</v>
      </c>
      <c r="BH91" s="139">
        <f t="shared" si="236"/>
        <v>151.20967741935485</v>
      </c>
      <c r="BI91" s="139">
        <f t="shared" si="237"/>
        <v>112.5</v>
      </c>
      <c r="BJ91" s="139">
        <f t="shared" si="238"/>
        <v>151.20967741935485</v>
      </c>
      <c r="BK91" s="139">
        <f t="shared" si="239"/>
        <v>112.5</v>
      </c>
    </row>
    <row r="92" spans="1:63" ht="14.4">
      <c r="A92" s="126" t="s">
        <v>184</v>
      </c>
      <c r="B92" s="118">
        <v>30</v>
      </c>
      <c r="C92" s="118">
        <f t="shared" si="219"/>
        <v>720</v>
      </c>
      <c r="D92" s="122">
        <f t="shared" si="206"/>
        <v>218.05555555555554</v>
      </c>
      <c r="E92" s="118">
        <v>157</v>
      </c>
      <c r="H92" s="123"/>
      <c r="I92" s="117" t="s">
        <v>188</v>
      </c>
      <c r="J92" s="124">
        <v>0.97</v>
      </c>
      <c r="K92" s="125">
        <f t="shared" si="207"/>
        <v>211.51388888888886</v>
      </c>
      <c r="L92" s="125">
        <f t="shared" si="220"/>
        <v>152.29</v>
      </c>
      <c r="M92" s="124">
        <v>0.82</v>
      </c>
      <c r="N92" s="125">
        <f t="shared" si="208"/>
        <v>178.80555555555554</v>
      </c>
      <c r="O92" s="125">
        <f t="shared" si="221"/>
        <v>128.73999999999998</v>
      </c>
      <c r="P92" s="124">
        <v>0.93</v>
      </c>
      <c r="Q92" s="125">
        <f t="shared" si="209"/>
        <v>202.79166666666666</v>
      </c>
      <c r="R92" s="125">
        <f t="shared" si="222"/>
        <v>146.01000000000002</v>
      </c>
      <c r="S92" s="124">
        <v>0.93</v>
      </c>
      <c r="T92" s="125">
        <f t="shared" si="210"/>
        <v>202.79166666666666</v>
      </c>
      <c r="U92" s="125">
        <f t="shared" si="223"/>
        <v>146.01000000000002</v>
      </c>
      <c r="W92" s="117" t="s">
        <v>188</v>
      </c>
      <c r="X92" s="123"/>
      <c r="Y92" s="123"/>
      <c r="Z92" s="124">
        <v>0.78</v>
      </c>
      <c r="AA92" s="125">
        <f t="shared" si="240"/>
        <v>170.08333333333334</v>
      </c>
      <c r="AB92" s="125">
        <f t="shared" si="211"/>
        <v>122.46000000000001</v>
      </c>
      <c r="AC92" s="124">
        <v>0.45</v>
      </c>
      <c r="AD92" s="125">
        <f t="shared" si="241"/>
        <v>98.125</v>
      </c>
      <c r="AE92" s="125">
        <f t="shared" si="212"/>
        <v>70.650000000000006</v>
      </c>
      <c r="AF92" s="124">
        <v>0.78</v>
      </c>
      <c r="AG92" s="125">
        <f t="shared" si="242"/>
        <v>170.08333333333334</v>
      </c>
      <c r="AH92" s="125">
        <f t="shared" si="213"/>
        <v>122.46000000000001</v>
      </c>
      <c r="AI92" s="124">
        <v>0.78</v>
      </c>
      <c r="AJ92" s="125">
        <f t="shared" si="243"/>
        <v>170.08333333333334</v>
      </c>
      <c r="AK92" s="125">
        <f t="shared" si="214"/>
        <v>122.46000000000001</v>
      </c>
      <c r="AL92" s="162"/>
      <c r="AM92" s="117" t="s">
        <v>188</v>
      </c>
      <c r="AN92" s="123"/>
      <c r="AO92" s="123"/>
      <c r="AP92" s="124">
        <v>0.5</v>
      </c>
      <c r="AQ92" s="125">
        <f t="shared" si="228"/>
        <v>109.02777777777777</v>
      </c>
      <c r="AR92" s="125">
        <f t="shared" si="215"/>
        <v>78.5</v>
      </c>
      <c r="AS92" s="124">
        <v>0.32</v>
      </c>
      <c r="AT92" s="125">
        <f t="shared" si="229"/>
        <v>69.777777777777771</v>
      </c>
      <c r="AU92" s="125">
        <f t="shared" si="216"/>
        <v>50.24</v>
      </c>
      <c r="AV92" s="124">
        <v>0.55000000000000004</v>
      </c>
      <c r="AW92" s="125">
        <f t="shared" si="230"/>
        <v>119.93055555555556</v>
      </c>
      <c r="AX92" s="125">
        <f t="shared" si="217"/>
        <v>86.350000000000009</v>
      </c>
      <c r="AY92" s="124">
        <v>0.55000000000000004</v>
      </c>
      <c r="AZ92" s="125">
        <f t="shared" si="231"/>
        <v>119.93055555555556</v>
      </c>
      <c r="BA92" s="125">
        <f t="shared" si="218"/>
        <v>86.350000000000009</v>
      </c>
      <c r="BC92" s="117" t="s">
        <v>243</v>
      </c>
      <c r="BD92" s="139">
        <f t="shared" si="232"/>
        <v>160.27083333333331</v>
      </c>
      <c r="BE92" s="139">
        <f t="shared" si="233"/>
        <v>115.395</v>
      </c>
      <c r="BF92" s="139">
        <f t="shared" si="234"/>
        <v>124.29166666666666</v>
      </c>
      <c r="BG92" s="139">
        <f t="shared" si="235"/>
        <v>89.49</v>
      </c>
      <c r="BH92" s="139">
        <f t="shared" si="236"/>
        <v>161.36111111111111</v>
      </c>
      <c r="BI92" s="139">
        <f t="shared" si="237"/>
        <v>116.18</v>
      </c>
      <c r="BJ92" s="139">
        <f t="shared" si="238"/>
        <v>161.36111111111111</v>
      </c>
      <c r="BK92" s="139">
        <f>(U92+BA92)/2</f>
        <v>116.18</v>
      </c>
    </row>
    <row r="93" spans="1:63" ht="14.4">
      <c r="A93" s="126" t="s">
        <v>185</v>
      </c>
      <c r="B93" s="118">
        <v>31</v>
      </c>
      <c r="C93" s="118">
        <f t="shared" si="219"/>
        <v>744</v>
      </c>
      <c r="D93" s="122">
        <f t="shared" si="206"/>
        <v>202.95698924731184</v>
      </c>
      <c r="E93" s="118">
        <v>151</v>
      </c>
      <c r="H93" s="123"/>
      <c r="I93" s="117" t="s">
        <v>243</v>
      </c>
      <c r="J93" s="124">
        <v>0.98</v>
      </c>
      <c r="K93" s="125">
        <f t="shared" si="207"/>
        <v>198.8978494623656</v>
      </c>
      <c r="L93" s="125">
        <f t="shared" si="220"/>
        <v>147.97999999999999</v>
      </c>
      <c r="M93" s="124">
        <v>0.81</v>
      </c>
      <c r="N93" s="125">
        <f t="shared" si="208"/>
        <v>164.39516129032259</v>
      </c>
      <c r="O93" s="125">
        <f t="shared" si="221"/>
        <v>122.31</v>
      </c>
      <c r="P93" s="124">
        <v>0.93</v>
      </c>
      <c r="Q93" s="125">
        <f t="shared" si="209"/>
        <v>188.75000000000003</v>
      </c>
      <c r="R93" s="125">
        <f t="shared" si="222"/>
        <v>140.43</v>
      </c>
      <c r="S93" s="124">
        <v>0.93</v>
      </c>
      <c r="T93" s="125">
        <f t="shared" si="210"/>
        <v>188.75000000000003</v>
      </c>
      <c r="U93" s="125">
        <f t="shared" si="223"/>
        <v>140.43</v>
      </c>
      <c r="W93" s="117" t="s">
        <v>243</v>
      </c>
      <c r="X93" s="123"/>
      <c r="Y93" s="123"/>
      <c r="Z93" s="124">
        <v>0.81</v>
      </c>
      <c r="AA93" s="125">
        <f t="shared" si="240"/>
        <v>164.39516129032259</v>
      </c>
      <c r="AB93" s="125">
        <f t="shared" si="211"/>
        <v>122.31</v>
      </c>
      <c r="AC93" s="124">
        <v>0.42</v>
      </c>
      <c r="AD93" s="125">
        <f t="shared" si="241"/>
        <v>85.241935483870975</v>
      </c>
      <c r="AE93" s="125">
        <f t="shared" si="212"/>
        <v>63.419999999999995</v>
      </c>
      <c r="AF93" s="124">
        <v>0.78</v>
      </c>
      <c r="AG93" s="125">
        <f t="shared" si="242"/>
        <v>158.30645161290323</v>
      </c>
      <c r="AH93" s="125">
        <f t="shared" si="213"/>
        <v>117.78</v>
      </c>
      <c r="AI93" s="124">
        <v>0.78</v>
      </c>
      <c r="AJ93" s="125">
        <f t="shared" si="243"/>
        <v>158.30645161290323</v>
      </c>
      <c r="AK93" s="125">
        <f t="shared" si="214"/>
        <v>117.78</v>
      </c>
      <c r="AL93" s="162"/>
      <c r="AM93" s="117" t="s">
        <v>243</v>
      </c>
      <c r="AN93" s="123"/>
      <c r="AO93" s="123"/>
      <c r="AP93" s="124">
        <v>0.52</v>
      </c>
      <c r="AQ93" s="125">
        <f t="shared" si="228"/>
        <v>105.53763440860216</v>
      </c>
      <c r="AR93" s="125">
        <f t="shared" si="215"/>
        <v>78.52</v>
      </c>
      <c r="AS93" s="124">
        <v>0.31</v>
      </c>
      <c r="AT93" s="125">
        <f t="shared" si="229"/>
        <v>62.916666666666671</v>
      </c>
      <c r="AU93" s="125">
        <f t="shared" si="216"/>
        <v>46.81</v>
      </c>
      <c r="AV93" s="124">
        <v>0.55000000000000004</v>
      </c>
      <c r="AW93" s="125">
        <f t="shared" si="230"/>
        <v>111.62634408602152</v>
      </c>
      <c r="AX93" s="125">
        <f t="shared" si="217"/>
        <v>83.050000000000011</v>
      </c>
      <c r="AY93" s="124">
        <v>0.55000000000000004</v>
      </c>
      <c r="AZ93" s="125">
        <f t="shared" si="231"/>
        <v>111.62634408602152</v>
      </c>
      <c r="BA93" s="125">
        <f t="shared" si="218"/>
        <v>83.050000000000011</v>
      </c>
      <c r="BD93" s="139">
        <f t="shared" si="232"/>
        <v>152.21774193548387</v>
      </c>
      <c r="BE93" s="139">
        <f t="shared" si="233"/>
        <v>113.25</v>
      </c>
      <c r="BF93" s="139">
        <f t="shared" si="234"/>
        <v>113.65591397849462</v>
      </c>
      <c r="BG93" s="139">
        <f t="shared" si="235"/>
        <v>84.56</v>
      </c>
      <c r="BH93" s="139">
        <f t="shared" si="236"/>
        <v>150.18817204301078</v>
      </c>
      <c r="BI93" s="139">
        <f t="shared" si="237"/>
        <v>111.74000000000001</v>
      </c>
      <c r="BJ93" s="139">
        <f t="shared" si="238"/>
        <v>150.18817204301078</v>
      </c>
      <c r="BK93" s="139">
        <f t="shared" ref="BK93:BK94" si="244">(U93+BA93)/2</f>
        <v>111.74000000000001</v>
      </c>
    </row>
    <row r="94" spans="1:63" ht="14.4">
      <c r="A94" s="126" t="s">
        <v>186</v>
      </c>
      <c r="B94" s="118">
        <v>31</v>
      </c>
      <c r="C94" s="118">
        <f t="shared" si="219"/>
        <v>744</v>
      </c>
      <c r="D94" s="122">
        <f t="shared" si="206"/>
        <v>162.63440860215053</v>
      </c>
      <c r="E94" s="118">
        <v>121</v>
      </c>
      <c r="H94" s="123"/>
      <c r="J94" s="124">
        <v>1.04</v>
      </c>
      <c r="K94" s="125">
        <f t="shared" si="207"/>
        <v>169.13978494623655</v>
      </c>
      <c r="L94" s="125">
        <f t="shared" si="220"/>
        <v>125.84</v>
      </c>
      <c r="M94" s="124">
        <v>0.73</v>
      </c>
      <c r="N94" s="125">
        <f t="shared" si="208"/>
        <v>118.72311827956989</v>
      </c>
      <c r="O94" s="125">
        <f t="shared" si="221"/>
        <v>88.33</v>
      </c>
      <c r="P94" s="124">
        <v>0.94</v>
      </c>
      <c r="Q94" s="125">
        <f t="shared" si="209"/>
        <v>152.87634408602148</v>
      </c>
      <c r="R94" s="125">
        <f t="shared" si="222"/>
        <v>113.74</v>
      </c>
      <c r="S94" s="124">
        <v>0.94</v>
      </c>
      <c r="T94" s="125">
        <f t="shared" si="210"/>
        <v>152.87634408602148</v>
      </c>
      <c r="U94" s="125">
        <f t="shared" si="223"/>
        <v>113.74</v>
      </c>
      <c r="X94" s="123"/>
      <c r="Y94" s="123"/>
      <c r="Z94" s="124">
        <v>0.91</v>
      </c>
      <c r="AA94" s="125">
        <f t="shared" si="240"/>
        <v>147.99731182795699</v>
      </c>
      <c r="AB94" s="125">
        <f t="shared" si="211"/>
        <v>110.11</v>
      </c>
      <c r="AC94" s="124">
        <v>0.35</v>
      </c>
      <c r="AD94" s="125">
        <f t="shared" si="241"/>
        <v>56.922043010752681</v>
      </c>
      <c r="AE94" s="125">
        <f t="shared" si="212"/>
        <v>42.349999999999994</v>
      </c>
      <c r="AF94" s="124">
        <v>0.79</v>
      </c>
      <c r="AG94" s="125">
        <f t="shared" si="242"/>
        <v>128.48118279569891</v>
      </c>
      <c r="AH94" s="125">
        <f t="shared" si="213"/>
        <v>95.59</v>
      </c>
      <c r="AI94" s="124">
        <v>0.79</v>
      </c>
      <c r="AJ94" s="125">
        <f t="shared" si="243"/>
        <v>128.48118279569891</v>
      </c>
      <c r="AK94" s="125">
        <f t="shared" si="214"/>
        <v>95.59</v>
      </c>
      <c r="AL94" s="162"/>
      <c r="AN94" s="123"/>
      <c r="AO94" s="123"/>
      <c r="AP94" s="124">
        <v>0.62</v>
      </c>
      <c r="AQ94" s="125">
        <f t="shared" si="228"/>
        <v>100.83333333333333</v>
      </c>
      <c r="AR94" s="125">
        <f t="shared" si="215"/>
        <v>75.02</v>
      </c>
      <c r="AS94" s="124">
        <v>0.3</v>
      </c>
      <c r="AT94" s="125">
        <f t="shared" si="229"/>
        <v>48.79032258064516</v>
      </c>
      <c r="AU94" s="125">
        <f t="shared" si="216"/>
        <v>36.299999999999997</v>
      </c>
      <c r="AV94" s="124">
        <v>0.56999999999999995</v>
      </c>
      <c r="AW94" s="125">
        <f t="shared" si="230"/>
        <v>92.701612903225794</v>
      </c>
      <c r="AX94" s="125">
        <f t="shared" si="217"/>
        <v>68.97</v>
      </c>
      <c r="AY94" s="124">
        <v>0.56999999999999995</v>
      </c>
      <c r="AZ94" s="125">
        <f t="shared" si="231"/>
        <v>92.701612903225794</v>
      </c>
      <c r="BA94" s="125">
        <f t="shared" si="218"/>
        <v>68.97</v>
      </c>
      <c r="BD94" s="139">
        <f t="shared" si="232"/>
        <v>134.98655913978493</v>
      </c>
      <c r="BE94" s="139">
        <f>(L94+AR94)/2</f>
        <v>100.43</v>
      </c>
      <c r="BF94" s="139">
        <f t="shared" si="234"/>
        <v>83.756720430107521</v>
      </c>
      <c r="BG94" s="139">
        <f>(O94+AU94)/2</f>
        <v>62.314999999999998</v>
      </c>
      <c r="BH94" s="139">
        <f t="shared" si="236"/>
        <v>122.78897849462363</v>
      </c>
      <c r="BI94" s="139">
        <f t="shared" si="237"/>
        <v>91.35499999999999</v>
      </c>
      <c r="BJ94" s="139">
        <f t="shared" si="238"/>
        <v>122.78897849462363</v>
      </c>
      <c r="BK94" s="139">
        <f t="shared" si="244"/>
        <v>91.35499999999999</v>
      </c>
    </row>
    <row r="95" spans="1:63" ht="14.4">
      <c r="A95" s="126" t="s">
        <v>187</v>
      </c>
      <c r="B95" s="118">
        <v>30</v>
      </c>
      <c r="C95" s="118">
        <f t="shared" si="219"/>
        <v>720</v>
      </c>
      <c r="D95" s="122">
        <f t="shared" si="206"/>
        <v>134.72222222222223</v>
      </c>
      <c r="E95" s="118">
        <v>97</v>
      </c>
      <c r="H95" s="123"/>
      <c r="J95" s="124">
        <v>1.17</v>
      </c>
      <c r="K95" s="125">
        <f t="shared" si="207"/>
        <v>157.625</v>
      </c>
      <c r="L95" s="125">
        <f t="shared" si="220"/>
        <v>113.49</v>
      </c>
      <c r="M95" s="124">
        <v>0.59</v>
      </c>
      <c r="N95" s="125">
        <f t="shared" si="208"/>
        <v>79.486111111111114</v>
      </c>
      <c r="O95" s="125">
        <f t="shared" si="221"/>
        <v>57.23</v>
      </c>
      <c r="P95" s="124">
        <v>0.95</v>
      </c>
      <c r="Q95" s="125">
        <f t="shared" si="209"/>
        <v>127.98611111111111</v>
      </c>
      <c r="R95" s="125">
        <f t="shared" si="222"/>
        <v>92.149999999999991</v>
      </c>
      <c r="S95" s="124">
        <v>0.95</v>
      </c>
      <c r="T95" s="125">
        <f t="shared" si="210"/>
        <v>127.98611111111111</v>
      </c>
      <c r="U95" s="125">
        <f t="shared" si="223"/>
        <v>92.149999999999991</v>
      </c>
      <c r="X95" s="123"/>
      <c r="Y95" s="123"/>
      <c r="Z95" s="124">
        <v>1.1100000000000001</v>
      </c>
      <c r="AA95" s="125">
        <f t="shared" si="240"/>
        <v>149.54166666666669</v>
      </c>
      <c r="AB95" s="125">
        <f t="shared" si="211"/>
        <v>107.67000000000002</v>
      </c>
      <c r="AC95" s="124">
        <v>0.31</v>
      </c>
      <c r="AD95" s="125">
        <f t="shared" si="241"/>
        <v>41.763888888888893</v>
      </c>
      <c r="AE95" s="125">
        <f t="shared" si="212"/>
        <v>30.07</v>
      </c>
      <c r="AF95" s="124">
        <v>0.81</v>
      </c>
      <c r="AG95" s="125">
        <f t="shared" si="242"/>
        <v>109.12500000000001</v>
      </c>
      <c r="AH95" s="125">
        <f t="shared" si="213"/>
        <v>78.570000000000007</v>
      </c>
      <c r="AI95" s="124">
        <v>0.81</v>
      </c>
      <c r="AJ95" s="125">
        <f t="shared" si="243"/>
        <v>109.12500000000001</v>
      </c>
      <c r="AK95" s="125">
        <f t="shared" si="214"/>
        <v>78.570000000000007</v>
      </c>
      <c r="AL95" s="162"/>
      <c r="AN95" s="123"/>
      <c r="AO95" s="123"/>
      <c r="AP95" s="124">
        <v>0.85</v>
      </c>
      <c r="AQ95" s="125">
        <f t="shared" si="228"/>
        <v>114.51388888888889</v>
      </c>
      <c r="AR95" s="125">
        <f t="shared" si="215"/>
        <v>82.45</v>
      </c>
      <c r="AS95" s="124">
        <v>0.28000000000000003</v>
      </c>
      <c r="AT95" s="125">
        <f t="shared" si="229"/>
        <v>37.722222222222229</v>
      </c>
      <c r="AU95" s="125">
        <f t="shared" si="216"/>
        <v>27.160000000000004</v>
      </c>
      <c r="AV95" s="124">
        <v>0.6</v>
      </c>
      <c r="AW95" s="125">
        <f t="shared" si="230"/>
        <v>80.833333333333329</v>
      </c>
      <c r="AX95" s="125">
        <f t="shared" si="217"/>
        <v>58.199999999999996</v>
      </c>
      <c r="AY95" s="124">
        <v>0.6</v>
      </c>
      <c r="AZ95" s="125">
        <f t="shared" si="231"/>
        <v>80.833333333333329</v>
      </c>
      <c r="BA95" s="125">
        <f t="shared" si="218"/>
        <v>58.199999999999996</v>
      </c>
      <c r="BD95" s="139">
        <f t="shared" si="232"/>
        <v>136.06944444444446</v>
      </c>
      <c r="BE95" s="139">
        <f t="shared" ref="BE95:BE98" si="245">(L95+AR95)/2</f>
        <v>97.97</v>
      </c>
      <c r="BF95" s="139">
        <f t="shared" si="234"/>
        <v>58.604166666666671</v>
      </c>
      <c r="BG95" s="139">
        <f t="shared" ref="BG95:BG98" si="246">(O95+AU95)/2</f>
        <v>42.195</v>
      </c>
      <c r="BH95" s="139">
        <f t="shared" si="236"/>
        <v>104.40972222222223</v>
      </c>
      <c r="BI95" s="139">
        <f t="shared" si="237"/>
        <v>75.174999999999997</v>
      </c>
      <c r="BJ95" s="139">
        <f t="shared" si="238"/>
        <v>104.40972222222223</v>
      </c>
      <c r="BK95" s="139">
        <f>(U95+BA95)/2</f>
        <v>75.174999999999997</v>
      </c>
    </row>
    <row r="96" spans="1:63" ht="14.4">
      <c r="A96" s="126" t="s">
        <v>59</v>
      </c>
      <c r="B96" s="118">
        <v>31</v>
      </c>
      <c r="C96" s="118">
        <f t="shared" si="219"/>
        <v>744</v>
      </c>
      <c r="D96" s="122">
        <f t="shared" si="206"/>
        <v>77.956989247311824</v>
      </c>
      <c r="E96" s="118">
        <v>58</v>
      </c>
      <c r="H96" s="123"/>
      <c r="J96" s="124">
        <v>1.33</v>
      </c>
      <c r="K96" s="125">
        <f t="shared" si="207"/>
        <v>103.68279569892474</v>
      </c>
      <c r="L96" s="125">
        <f t="shared" si="220"/>
        <v>77.14</v>
      </c>
      <c r="M96" s="124">
        <v>0.45</v>
      </c>
      <c r="N96" s="125">
        <f t="shared" si="208"/>
        <v>35.08064516129032</v>
      </c>
      <c r="O96" s="125">
        <f t="shared" si="221"/>
        <v>26.1</v>
      </c>
      <c r="P96" s="124">
        <v>0.96</v>
      </c>
      <c r="Q96" s="125">
        <f t="shared" si="209"/>
        <v>74.838709677419345</v>
      </c>
      <c r="R96" s="125">
        <f t="shared" si="222"/>
        <v>55.68</v>
      </c>
      <c r="S96" s="124">
        <v>0.96</v>
      </c>
      <c r="T96" s="125">
        <f t="shared" si="210"/>
        <v>74.838709677419345</v>
      </c>
      <c r="U96" s="125">
        <f t="shared" si="223"/>
        <v>55.68</v>
      </c>
      <c r="X96" s="123"/>
      <c r="Y96" s="123"/>
      <c r="Z96" s="124">
        <v>1.4</v>
      </c>
      <c r="AA96" s="125">
        <f t="shared" si="240"/>
        <v>109.13978494623655</v>
      </c>
      <c r="AB96" s="125">
        <f t="shared" si="211"/>
        <v>81.199999999999989</v>
      </c>
      <c r="AC96" s="124">
        <v>0.34</v>
      </c>
      <c r="AD96" s="125">
        <f t="shared" si="241"/>
        <v>26.505376344086024</v>
      </c>
      <c r="AE96" s="125">
        <f t="shared" si="212"/>
        <v>19.720000000000002</v>
      </c>
      <c r="AF96" s="124">
        <v>0.84</v>
      </c>
      <c r="AG96" s="125">
        <f t="shared" si="242"/>
        <v>65.483870967741936</v>
      </c>
      <c r="AH96" s="125">
        <f t="shared" si="213"/>
        <v>48.72</v>
      </c>
      <c r="AI96" s="124">
        <v>0.84</v>
      </c>
      <c r="AJ96" s="125">
        <f t="shared" si="243"/>
        <v>65.483870967741936</v>
      </c>
      <c r="AK96" s="125">
        <f t="shared" si="214"/>
        <v>48.72</v>
      </c>
      <c r="AL96" s="162"/>
      <c r="AN96" s="123"/>
      <c r="AO96" s="123"/>
      <c r="AP96" s="124">
        <v>1.19</v>
      </c>
      <c r="AQ96" s="125">
        <f t="shared" si="228"/>
        <v>92.768817204301072</v>
      </c>
      <c r="AR96" s="125">
        <f t="shared" si="215"/>
        <v>69.02</v>
      </c>
      <c r="AS96" s="124">
        <v>0.3</v>
      </c>
      <c r="AT96" s="125">
        <f t="shared" si="229"/>
        <v>23.387096774193548</v>
      </c>
      <c r="AU96" s="125">
        <f t="shared" si="216"/>
        <v>17.399999999999999</v>
      </c>
      <c r="AV96" s="124">
        <v>0.63</v>
      </c>
      <c r="AW96" s="125">
        <f t="shared" si="230"/>
        <v>49.112903225806448</v>
      </c>
      <c r="AX96" s="125">
        <f t="shared" si="217"/>
        <v>36.54</v>
      </c>
      <c r="AY96" s="124">
        <v>0.63</v>
      </c>
      <c r="AZ96" s="125">
        <f t="shared" si="231"/>
        <v>49.112903225806448</v>
      </c>
      <c r="BA96" s="125">
        <f t="shared" si="218"/>
        <v>36.54</v>
      </c>
      <c r="BD96" s="139">
        <f t="shared" si="232"/>
        <v>98.225806451612897</v>
      </c>
      <c r="BE96" s="139">
        <f t="shared" si="245"/>
        <v>73.08</v>
      </c>
      <c r="BF96" s="139">
        <f t="shared" si="234"/>
        <v>29.233870967741936</v>
      </c>
      <c r="BG96" s="139">
        <f t="shared" si="246"/>
        <v>21.75</v>
      </c>
      <c r="BH96" s="139">
        <f t="shared" si="236"/>
        <v>61.975806451612897</v>
      </c>
      <c r="BI96" s="139">
        <f t="shared" si="237"/>
        <v>46.11</v>
      </c>
      <c r="BJ96" s="139">
        <f t="shared" si="238"/>
        <v>61.975806451612897</v>
      </c>
      <c r="BK96" s="139">
        <f t="shared" ref="BK96:BK98" si="247">(U96+BA96)/2</f>
        <v>46.11</v>
      </c>
    </row>
    <row r="97" spans="1:63" ht="14.4">
      <c r="A97" s="126" t="s">
        <v>60</v>
      </c>
      <c r="B97" s="118">
        <v>30</v>
      </c>
      <c r="C97" s="118">
        <f t="shared" si="219"/>
        <v>720</v>
      </c>
      <c r="D97" s="122">
        <f t="shared" si="206"/>
        <v>41.666666666666664</v>
      </c>
      <c r="E97" s="118">
        <v>30</v>
      </c>
      <c r="H97" s="123"/>
      <c r="J97" s="124">
        <v>1.52</v>
      </c>
      <c r="K97" s="125">
        <f t="shared" si="207"/>
        <v>63.333333333333329</v>
      </c>
      <c r="L97" s="125">
        <f t="shared" si="220"/>
        <v>45.6</v>
      </c>
      <c r="M97" s="124">
        <v>0.47</v>
      </c>
      <c r="N97" s="125">
        <f t="shared" si="208"/>
        <v>19.583333333333332</v>
      </c>
      <c r="O97" s="125">
        <f t="shared" si="221"/>
        <v>14.1</v>
      </c>
      <c r="P97" s="124">
        <v>0.97</v>
      </c>
      <c r="Q97" s="125">
        <f t="shared" si="209"/>
        <v>40.416666666666664</v>
      </c>
      <c r="R97" s="125">
        <f t="shared" si="222"/>
        <v>29.099999999999998</v>
      </c>
      <c r="S97" s="124">
        <v>0.97</v>
      </c>
      <c r="T97" s="125">
        <f t="shared" si="210"/>
        <v>40.416666666666664</v>
      </c>
      <c r="U97" s="125">
        <f t="shared" si="223"/>
        <v>29.099999999999998</v>
      </c>
      <c r="X97" s="123"/>
      <c r="Y97" s="123"/>
      <c r="Z97" s="124">
        <v>1.75</v>
      </c>
      <c r="AA97" s="125">
        <f t="shared" si="240"/>
        <v>72.916666666666657</v>
      </c>
      <c r="AB97" s="125">
        <f t="shared" si="211"/>
        <v>52.5</v>
      </c>
      <c r="AC97" s="124">
        <v>0.4</v>
      </c>
      <c r="AD97" s="125">
        <f t="shared" si="241"/>
        <v>16.666666666666668</v>
      </c>
      <c r="AE97" s="125">
        <f t="shared" si="212"/>
        <v>12</v>
      </c>
      <c r="AF97" s="124">
        <v>0.86</v>
      </c>
      <c r="AG97" s="125">
        <f t="shared" si="242"/>
        <v>35.833333333333329</v>
      </c>
      <c r="AH97" s="125">
        <f t="shared" si="213"/>
        <v>25.8</v>
      </c>
      <c r="AI97" s="124">
        <v>0.86</v>
      </c>
      <c r="AJ97" s="125">
        <f t="shared" si="243"/>
        <v>35.833333333333329</v>
      </c>
      <c r="AK97" s="125">
        <f t="shared" si="214"/>
        <v>25.8</v>
      </c>
      <c r="AL97" s="162"/>
      <c r="AN97" s="123"/>
      <c r="AO97" s="123"/>
      <c r="AP97" s="124">
        <v>1.62</v>
      </c>
      <c r="AQ97" s="125">
        <f t="shared" si="228"/>
        <v>67.5</v>
      </c>
      <c r="AR97" s="125">
        <f t="shared" si="215"/>
        <v>48.6</v>
      </c>
      <c r="AS97" s="124">
        <v>0.37</v>
      </c>
      <c r="AT97" s="125">
        <f t="shared" si="229"/>
        <v>15.416666666666666</v>
      </c>
      <c r="AU97" s="125">
        <f t="shared" si="216"/>
        <v>11.1</v>
      </c>
      <c r="AV97" s="124">
        <v>0.65</v>
      </c>
      <c r="AW97" s="125">
        <f t="shared" si="230"/>
        <v>27.083333333333332</v>
      </c>
      <c r="AX97" s="125">
        <f t="shared" si="217"/>
        <v>19.5</v>
      </c>
      <c r="AY97" s="124">
        <v>0.65</v>
      </c>
      <c r="AZ97" s="125">
        <f t="shared" si="231"/>
        <v>27.083333333333332</v>
      </c>
      <c r="BA97" s="125">
        <f t="shared" si="218"/>
        <v>19.5</v>
      </c>
      <c r="BD97" s="139">
        <f t="shared" si="232"/>
        <v>65.416666666666657</v>
      </c>
      <c r="BE97" s="139">
        <f t="shared" si="245"/>
        <v>47.1</v>
      </c>
      <c r="BF97" s="139">
        <f t="shared" si="234"/>
        <v>17.5</v>
      </c>
      <c r="BG97" s="139">
        <f t="shared" si="246"/>
        <v>12.6</v>
      </c>
      <c r="BH97" s="139">
        <f t="shared" si="236"/>
        <v>33.75</v>
      </c>
      <c r="BI97" s="139">
        <f t="shared" si="237"/>
        <v>24.299999999999997</v>
      </c>
      <c r="BJ97" s="139">
        <f t="shared" si="238"/>
        <v>33.75</v>
      </c>
      <c r="BK97" s="139">
        <f t="shared" si="247"/>
        <v>24.299999999999997</v>
      </c>
    </row>
    <row r="98" spans="1:63" ht="15" thickBot="1">
      <c r="A98" s="127" t="s">
        <v>61</v>
      </c>
      <c r="B98" s="118">
        <v>31</v>
      </c>
      <c r="C98" s="118">
        <f t="shared" si="219"/>
        <v>744</v>
      </c>
      <c r="D98" s="122">
        <f t="shared" si="206"/>
        <v>28.225806451612904</v>
      </c>
      <c r="E98" s="118">
        <v>21</v>
      </c>
      <c r="H98" s="123"/>
      <c r="J98" s="124">
        <v>1.76</v>
      </c>
      <c r="K98" s="125">
        <f t="shared" si="207"/>
        <v>49.677419354838712</v>
      </c>
      <c r="L98" s="125">
        <f t="shared" si="220"/>
        <v>36.96</v>
      </c>
      <c r="M98" s="124">
        <v>0.48</v>
      </c>
      <c r="N98" s="125">
        <f t="shared" si="208"/>
        <v>13.548387096774194</v>
      </c>
      <c r="O98" s="125">
        <f t="shared" si="221"/>
        <v>10.08</v>
      </c>
      <c r="P98" s="124">
        <v>0.99</v>
      </c>
      <c r="Q98" s="125">
        <f t="shared" si="209"/>
        <v>27.943548387096776</v>
      </c>
      <c r="R98" s="125">
        <f t="shared" si="222"/>
        <v>20.79</v>
      </c>
      <c r="S98" s="124">
        <v>0.99</v>
      </c>
      <c r="T98" s="125">
        <f t="shared" si="210"/>
        <v>27.943548387096776</v>
      </c>
      <c r="U98" s="125">
        <f t="shared" si="223"/>
        <v>20.79</v>
      </c>
      <c r="X98" s="123"/>
      <c r="Y98" s="123"/>
      <c r="Z98" s="124">
        <v>2.15</v>
      </c>
      <c r="AA98" s="125">
        <f t="shared" si="240"/>
        <v>60.685483870967744</v>
      </c>
      <c r="AB98" s="125">
        <f t="shared" si="211"/>
        <v>45.15</v>
      </c>
      <c r="AC98" s="124">
        <v>0.46</v>
      </c>
      <c r="AD98" s="125">
        <f t="shared" si="241"/>
        <v>12.983870967741936</v>
      </c>
      <c r="AE98" s="125">
        <f t="shared" si="212"/>
        <v>9.66</v>
      </c>
      <c r="AF98" s="124">
        <v>0.9</v>
      </c>
      <c r="AG98" s="125">
        <f t="shared" si="242"/>
        <v>25.403225806451616</v>
      </c>
      <c r="AH98" s="125">
        <f t="shared" si="213"/>
        <v>18.900000000000002</v>
      </c>
      <c r="AI98" s="124">
        <v>0.9</v>
      </c>
      <c r="AJ98" s="125">
        <f t="shared" si="243"/>
        <v>25.403225806451616</v>
      </c>
      <c r="AK98" s="125">
        <f t="shared" si="214"/>
        <v>18.900000000000002</v>
      </c>
      <c r="AL98" s="162"/>
      <c r="AN98" s="123"/>
      <c r="AO98" s="123"/>
      <c r="AP98" s="124">
        <v>2.19</v>
      </c>
      <c r="AQ98" s="125">
        <f t="shared" si="228"/>
        <v>61.814516129032256</v>
      </c>
      <c r="AR98" s="125">
        <f t="shared" si="215"/>
        <v>45.99</v>
      </c>
      <c r="AS98" s="124">
        <v>0.46</v>
      </c>
      <c r="AT98" s="125">
        <f t="shared" si="229"/>
        <v>12.983870967741936</v>
      </c>
      <c r="AU98" s="125">
        <f t="shared" si="216"/>
        <v>9.66</v>
      </c>
      <c r="AV98" s="124">
        <v>0.77</v>
      </c>
      <c r="AW98" s="125">
        <f t="shared" si="230"/>
        <v>21.733870967741936</v>
      </c>
      <c r="AX98" s="125">
        <f t="shared" si="217"/>
        <v>16.170000000000002</v>
      </c>
      <c r="AY98" s="124">
        <v>0.77</v>
      </c>
      <c r="AZ98" s="125">
        <f t="shared" si="231"/>
        <v>21.733870967741936</v>
      </c>
      <c r="BA98" s="125">
        <f t="shared" si="218"/>
        <v>16.170000000000002</v>
      </c>
      <c r="BD98" s="139">
        <f t="shared" si="232"/>
        <v>55.745967741935488</v>
      </c>
      <c r="BE98" s="139">
        <f t="shared" si="245"/>
        <v>41.475000000000001</v>
      </c>
      <c r="BF98" s="139">
        <f t="shared" si="234"/>
        <v>13.266129032258064</v>
      </c>
      <c r="BG98" s="139">
        <f t="shared" si="246"/>
        <v>9.870000000000001</v>
      </c>
      <c r="BH98" s="139">
        <f t="shared" si="236"/>
        <v>24.838709677419356</v>
      </c>
      <c r="BI98" s="139">
        <f t="shared" si="237"/>
        <v>18.48</v>
      </c>
      <c r="BJ98" s="139">
        <f t="shared" si="238"/>
        <v>24.838709677419356</v>
      </c>
      <c r="BK98" s="139">
        <f t="shared" si="247"/>
        <v>18.48</v>
      </c>
    </row>
    <row r="102" spans="1:63">
      <c r="A102" s="128" t="s">
        <v>201</v>
      </c>
      <c r="B102" s="120" t="s">
        <v>172</v>
      </c>
      <c r="C102" s="120" t="s">
        <v>173</v>
      </c>
      <c r="E102" s="120" t="s">
        <v>174</v>
      </c>
      <c r="F102" s="120"/>
      <c r="G102" s="120"/>
      <c r="J102" s="305" t="s">
        <v>177</v>
      </c>
      <c r="K102" s="306"/>
      <c r="L102" s="307"/>
      <c r="M102" s="305" t="s">
        <v>178</v>
      </c>
      <c r="N102" s="306"/>
      <c r="O102" s="307"/>
      <c r="P102" s="305" t="s">
        <v>179</v>
      </c>
      <c r="Q102" s="306"/>
      <c r="R102" s="306"/>
      <c r="S102" s="308" t="s">
        <v>180</v>
      </c>
      <c r="T102" s="308"/>
      <c r="U102" s="308"/>
      <c r="Z102" s="305" t="s">
        <v>177</v>
      </c>
      <c r="AA102" s="306"/>
      <c r="AB102" s="307"/>
      <c r="AC102" s="305" t="s">
        <v>178</v>
      </c>
      <c r="AD102" s="306"/>
      <c r="AE102" s="307"/>
      <c r="AF102" s="305" t="s">
        <v>179</v>
      </c>
      <c r="AG102" s="306"/>
      <c r="AH102" s="306"/>
      <c r="AI102" s="308" t="s">
        <v>180</v>
      </c>
      <c r="AJ102" s="308"/>
      <c r="AK102" s="308"/>
      <c r="AL102" s="128"/>
      <c r="AP102" s="305" t="s">
        <v>177</v>
      </c>
      <c r="AQ102" s="306"/>
      <c r="AR102" s="307"/>
      <c r="AS102" s="305" t="s">
        <v>178</v>
      </c>
      <c r="AT102" s="306"/>
      <c r="AU102" s="307"/>
      <c r="AV102" s="305" t="s">
        <v>179</v>
      </c>
      <c r="AW102" s="306"/>
      <c r="AX102" s="306"/>
      <c r="AY102" s="308" t="s">
        <v>180</v>
      </c>
      <c r="AZ102" s="308"/>
      <c r="BA102" s="308"/>
      <c r="BD102" s="310" t="s">
        <v>177</v>
      </c>
      <c r="BE102" s="311"/>
      <c r="BF102" s="310" t="s">
        <v>178</v>
      </c>
      <c r="BG102" s="311"/>
      <c r="BH102" s="310" t="s">
        <v>181</v>
      </c>
      <c r="BI102" s="311"/>
      <c r="BJ102" s="308" t="s">
        <v>180</v>
      </c>
      <c r="BK102" s="308"/>
    </row>
    <row r="103" spans="1:63" ht="13.8" thickBot="1">
      <c r="D103" s="118" t="s">
        <v>176</v>
      </c>
      <c r="E103" s="118" t="s">
        <v>175</v>
      </c>
      <c r="J103" s="117" t="s">
        <v>205</v>
      </c>
      <c r="K103" s="117" t="s">
        <v>176</v>
      </c>
      <c r="L103" s="117" t="s">
        <v>175</v>
      </c>
      <c r="M103" s="117" t="s">
        <v>205</v>
      </c>
      <c r="N103" s="117" t="s">
        <v>176</v>
      </c>
      <c r="O103" s="117" t="s">
        <v>175</v>
      </c>
      <c r="P103" s="117" t="s">
        <v>205</v>
      </c>
      <c r="Q103" s="117" t="s">
        <v>176</v>
      </c>
      <c r="R103" s="117" t="s">
        <v>175</v>
      </c>
      <c r="S103" s="137" t="s">
        <v>205</v>
      </c>
      <c r="T103" s="137" t="s">
        <v>176</v>
      </c>
      <c r="U103" s="137" t="s">
        <v>175</v>
      </c>
      <c r="Z103" s="117" t="s">
        <v>205</v>
      </c>
      <c r="AA103" s="117" t="s">
        <v>176</v>
      </c>
      <c r="AB103" s="117" t="s">
        <v>175</v>
      </c>
      <c r="AC103" s="117" t="s">
        <v>205</v>
      </c>
      <c r="AD103" s="117" t="s">
        <v>176</v>
      </c>
      <c r="AE103" s="117" t="s">
        <v>175</v>
      </c>
      <c r="AF103" s="117" t="s">
        <v>205</v>
      </c>
      <c r="AG103" s="117" t="s">
        <v>176</v>
      </c>
      <c r="AH103" s="117" t="s">
        <v>175</v>
      </c>
      <c r="AI103" s="137" t="s">
        <v>205</v>
      </c>
      <c r="AJ103" s="137" t="s">
        <v>176</v>
      </c>
      <c r="AK103" s="137" t="s">
        <v>175</v>
      </c>
      <c r="AP103" s="117" t="s">
        <v>205</v>
      </c>
      <c r="AQ103" s="117" t="s">
        <v>176</v>
      </c>
      <c r="AR103" s="117" t="s">
        <v>175</v>
      </c>
      <c r="AS103" s="117" t="s">
        <v>205</v>
      </c>
      <c r="AT103" s="117" t="s">
        <v>176</v>
      </c>
      <c r="AU103" s="117" t="s">
        <v>175</v>
      </c>
      <c r="AV103" s="117" t="s">
        <v>205</v>
      </c>
      <c r="AW103" s="117" t="s">
        <v>176</v>
      </c>
      <c r="AX103" s="117" t="s">
        <v>175</v>
      </c>
      <c r="AY103" s="137" t="s">
        <v>205</v>
      </c>
      <c r="AZ103" s="137" t="s">
        <v>176</v>
      </c>
      <c r="BA103" s="137" t="s">
        <v>175</v>
      </c>
      <c r="BD103" s="137" t="s">
        <v>176</v>
      </c>
      <c r="BE103" s="137" t="s">
        <v>175</v>
      </c>
      <c r="BF103" s="137" t="s">
        <v>176</v>
      </c>
      <c r="BG103" s="137" t="s">
        <v>175</v>
      </c>
      <c r="BH103" s="137" t="s">
        <v>176</v>
      </c>
      <c r="BI103" s="137" t="s">
        <v>175</v>
      </c>
      <c r="BJ103" s="137" t="s">
        <v>176</v>
      </c>
      <c r="BK103" s="137" t="s">
        <v>175</v>
      </c>
    </row>
    <row r="104" spans="1:63" ht="14.4">
      <c r="A104" s="121" t="s">
        <v>55</v>
      </c>
      <c r="B104" s="118">
        <v>31</v>
      </c>
      <c r="C104" s="118">
        <f>B104*24</f>
        <v>744</v>
      </c>
      <c r="D104" s="122">
        <f t="shared" ref="D104:D115" si="248">E104*1000/C104</f>
        <v>40.322580645161288</v>
      </c>
      <c r="E104" s="118">
        <v>30</v>
      </c>
      <c r="H104" s="123"/>
      <c r="J104" s="124">
        <v>1.61</v>
      </c>
      <c r="K104" s="125">
        <f t="shared" ref="K104:K115" si="249">J104*D104</f>
        <v>64.91935483870968</v>
      </c>
      <c r="L104" s="125">
        <f>$E104*J104</f>
        <v>48.300000000000004</v>
      </c>
      <c r="M104" s="124">
        <v>0.52</v>
      </c>
      <c r="N104" s="125">
        <f t="shared" ref="N104:N115" si="250">M104*D104</f>
        <v>20.967741935483872</v>
      </c>
      <c r="O104" s="125">
        <f>$E104*M104</f>
        <v>15.600000000000001</v>
      </c>
      <c r="P104" s="124">
        <v>1</v>
      </c>
      <c r="Q104" s="125">
        <f t="shared" ref="Q104:Q115" si="251">P104*D104</f>
        <v>40.322580645161288</v>
      </c>
      <c r="R104" s="125">
        <f>$E104*P104</f>
        <v>30</v>
      </c>
      <c r="S104" s="124">
        <v>1</v>
      </c>
      <c r="T104" s="125">
        <f t="shared" ref="T104:T115" si="252">S104*D104</f>
        <v>40.322580645161288</v>
      </c>
      <c r="U104" s="125">
        <f>$E104*S104</f>
        <v>30</v>
      </c>
      <c r="X104" s="123"/>
      <c r="Y104" s="123"/>
      <c r="Z104" s="124">
        <v>1.94</v>
      </c>
      <c r="AA104" s="125">
        <f>Z104*$D104</f>
        <v>78.225806451612897</v>
      </c>
      <c r="AB104" s="125">
        <f t="shared" ref="AB104:AB115" si="253">$E104*Z104</f>
        <v>58.199999999999996</v>
      </c>
      <c r="AC104" s="124">
        <v>0.51</v>
      </c>
      <c r="AD104" s="125">
        <f>AC104*$D104</f>
        <v>20.564516129032256</v>
      </c>
      <c r="AE104" s="125">
        <f t="shared" ref="AE104:AE115" si="254">$E104*AC104</f>
        <v>15.3</v>
      </c>
      <c r="AF104" s="124">
        <v>0.95</v>
      </c>
      <c r="AG104" s="125">
        <f>AF104*$D104</f>
        <v>38.306451612903224</v>
      </c>
      <c r="AH104" s="125">
        <f t="shared" ref="AH104:AH115" si="255">$E104*AF104</f>
        <v>28.5</v>
      </c>
      <c r="AI104" s="124">
        <v>0.95</v>
      </c>
      <c r="AJ104" s="125">
        <f>AI104*$D104</f>
        <v>38.306451612903224</v>
      </c>
      <c r="AK104" s="125">
        <f t="shared" ref="AK104:AK115" si="256">$E104*AI104</f>
        <v>28.5</v>
      </c>
      <c r="AL104" s="162"/>
      <c r="AN104" s="123"/>
      <c r="AO104" s="123"/>
      <c r="AP104" s="124">
        <v>1.92</v>
      </c>
      <c r="AQ104" s="125">
        <f>AP104*$D104</f>
        <v>77.419354838709666</v>
      </c>
      <c r="AR104" s="125">
        <f t="shared" ref="AR104:AR115" si="257">$E104*AP104</f>
        <v>57.599999999999994</v>
      </c>
      <c r="AS104" s="124">
        <v>0.55000000000000004</v>
      </c>
      <c r="AT104" s="125">
        <f>AS104*$D104</f>
        <v>22.177419354838712</v>
      </c>
      <c r="AU104" s="125">
        <f t="shared" ref="AU104:AU115" si="258">$E104*AS104</f>
        <v>16.5</v>
      </c>
      <c r="AV104" s="124">
        <v>0.85</v>
      </c>
      <c r="AW104" s="125">
        <f>AV104*$D104</f>
        <v>34.274193548387096</v>
      </c>
      <c r="AX104" s="125">
        <f t="shared" ref="AX104:AX115" si="259">$E104*AV104</f>
        <v>25.5</v>
      </c>
      <c r="AY104" s="124">
        <v>0.85</v>
      </c>
      <c r="AZ104" s="125">
        <f>AY104*$D104</f>
        <v>34.274193548387096</v>
      </c>
      <c r="BA104" s="125">
        <f t="shared" ref="BA104:BA115" si="260">$E104*AY104</f>
        <v>25.5</v>
      </c>
      <c r="BD104" s="139">
        <f>(K104+AQ104)/2</f>
        <v>71.169354838709666</v>
      </c>
      <c r="BE104" s="139">
        <f>(L104+AR104)/2</f>
        <v>52.95</v>
      </c>
      <c r="BF104" s="139">
        <f>(N104+AT104)/2</f>
        <v>21.572580645161292</v>
      </c>
      <c r="BG104" s="139">
        <f>(O104+AU104)/2</f>
        <v>16.05</v>
      </c>
      <c r="BH104" s="139">
        <f>(Q104+AW104)/2</f>
        <v>37.298387096774192</v>
      </c>
      <c r="BI104" s="139">
        <f>(R104+AX104)/2</f>
        <v>27.75</v>
      </c>
      <c r="BJ104" s="139">
        <f>(T104+AZ104)/2</f>
        <v>37.298387096774192</v>
      </c>
      <c r="BK104" s="139">
        <f>(U104+BA104)/2</f>
        <v>27.75</v>
      </c>
    </row>
    <row r="105" spans="1:63" ht="14.4">
      <c r="A105" s="126" t="s">
        <v>56</v>
      </c>
      <c r="B105" s="118">
        <v>28</v>
      </c>
      <c r="C105" s="118">
        <f t="shared" ref="C105:C115" si="261">B105*24</f>
        <v>672</v>
      </c>
      <c r="D105" s="122">
        <f t="shared" si="248"/>
        <v>81.845238095238102</v>
      </c>
      <c r="E105" s="118">
        <v>55</v>
      </c>
      <c r="H105" s="123"/>
      <c r="J105" s="124">
        <v>1.45</v>
      </c>
      <c r="K105" s="125">
        <f t="shared" si="249"/>
        <v>118.67559523809524</v>
      </c>
      <c r="L105" s="125">
        <f t="shared" ref="L105:L115" si="262">$E105*J105</f>
        <v>79.75</v>
      </c>
      <c r="M105" s="124">
        <v>0.45</v>
      </c>
      <c r="N105" s="125">
        <f t="shared" si="250"/>
        <v>36.830357142857146</v>
      </c>
      <c r="O105" s="125">
        <f t="shared" ref="O105:O115" si="263">$E105*M105</f>
        <v>24.75</v>
      </c>
      <c r="P105" s="124">
        <v>0.98</v>
      </c>
      <c r="Q105" s="125">
        <f t="shared" si="251"/>
        <v>80.208333333333343</v>
      </c>
      <c r="R105" s="125">
        <f t="shared" ref="R105:R115" si="264">$E105*P105</f>
        <v>53.9</v>
      </c>
      <c r="S105" s="124">
        <v>0.98</v>
      </c>
      <c r="T105" s="125">
        <f t="shared" si="252"/>
        <v>80.208333333333343</v>
      </c>
      <c r="U105" s="125">
        <f t="shared" ref="U105:U115" si="265">$E105*S105</f>
        <v>53.9</v>
      </c>
      <c r="X105" s="123"/>
      <c r="Y105" s="123"/>
      <c r="Z105" s="124">
        <v>1.64</v>
      </c>
      <c r="AA105" s="125">
        <f t="shared" ref="AA105:AA106" si="266">Z105*$D105</f>
        <v>134.22619047619048</v>
      </c>
      <c r="AB105" s="125">
        <f t="shared" si="253"/>
        <v>90.199999999999989</v>
      </c>
      <c r="AC105" s="124">
        <v>0.44</v>
      </c>
      <c r="AD105" s="125">
        <f t="shared" ref="AD105:AD106" si="267">AC105*$D105</f>
        <v>36.011904761904766</v>
      </c>
      <c r="AE105" s="125">
        <f t="shared" si="254"/>
        <v>24.2</v>
      </c>
      <c r="AF105" s="124">
        <v>0.92</v>
      </c>
      <c r="AG105" s="125">
        <f t="shared" ref="AG105:AG106" si="268">AF105*$D105</f>
        <v>75.297619047619051</v>
      </c>
      <c r="AH105" s="125">
        <f t="shared" si="255"/>
        <v>50.6</v>
      </c>
      <c r="AI105" s="124">
        <v>0.92</v>
      </c>
      <c r="AJ105" s="125">
        <f t="shared" ref="AJ105:AJ106" si="269">AI105*$D105</f>
        <v>75.297619047619051</v>
      </c>
      <c r="AK105" s="125">
        <f t="shared" si="256"/>
        <v>50.6</v>
      </c>
      <c r="AL105" s="162"/>
      <c r="AN105" s="123"/>
      <c r="AO105" s="123"/>
      <c r="AP105" s="124">
        <v>1.54</v>
      </c>
      <c r="AQ105" s="125">
        <f t="shared" ref="AQ105:AQ115" si="270">AP105*$D105</f>
        <v>126.04166666666669</v>
      </c>
      <c r="AR105" s="125">
        <f t="shared" si="257"/>
        <v>84.7</v>
      </c>
      <c r="AS105" s="124">
        <v>0.47</v>
      </c>
      <c r="AT105" s="125">
        <f t="shared" ref="AT105:AT115" si="271">AS105*$D105</f>
        <v>38.467261904761905</v>
      </c>
      <c r="AU105" s="125">
        <f t="shared" si="258"/>
        <v>25.849999999999998</v>
      </c>
      <c r="AV105" s="124">
        <v>0.8</v>
      </c>
      <c r="AW105" s="125">
        <f t="shared" ref="AW105:AW115" si="272">AV105*$D105</f>
        <v>65.476190476190482</v>
      </c>
      <c r="AX105" s="125">
        <f t="shared" si="259"/>
        <v>44</v>
      </c>
      <c r="AY105" s="124">
        <v>0.8</v>
      </c>
      <c r="AZ105" s="125">
        <f t="shared" ref="AZ105:AZ115" si="273">AY105*$D105</f>
        <v>65.476190476190482</v>
      </c>
      <c r="BA105" s="125">
        <f t="shared" si="260"/>
        <v>44</v>
      </c>
      <c r="BD105" s="139">
        <f t="shared" ref="BD105:BD115" si="274">(K105+AQ105)/2</f>
        <v>122.35863095238096</v>
      </c>
      <c r="BE105" s="139">
        <f t="shared" ref="BE105:BE110" si="275">(L105+AR105)/2</f>
        <v>82.224999999999994</v>
      </c>
      <c r="BF105" s="139">
        <f t="shared" ref="BF105:BF115" si="276">(N105+AT105)/2</f>
        <v>37.648809523809526</v>
      </c>
      <c r="BG105" s="139">
        <f t="shared" ref="BG105:BG110" si="277">(O105+AU105)/2</f>
        <v>25.299999999999997</v>
      </c>
      <c r="BH105" s="139">
        <f t="shared" ref="BH105:BH115" si="278">(Q105+AW105)/2</f>
        <v>72.842261904761912</v>
      </c>
      <c r="BI105" s="139">
        <f t="shared" ref="BI105:BI115" si="279">(R105+AX105)/2</f>
        <v>48.95</v>
      </c>
      <c r="BJ105" s="139">
        <f t="shared" ref="BJ105:BJ115" si="280">(T105+AZ105)/2</f>
        <v>72.842261904761912</v>
      </c>
      <c r="BK105" s="139">
        <f t="shared" ref="BK105:BK108" si="281">(U105+BA105)/2</f>
        <v>48.95</v>
      </c>
    </row>
    <row r="106" spans="1:63" ht="14.4">
      <c r="A106" s="126" t="s">
        <v>57</v>
      </c>
      <c r="B106" s="118">
        <v>31</v>
      </c>
      <c r="C106" s="118">
        <f t="shared" si="261"/>
        <v>744</v>
      </c>
      <c r="D106" s="122">
        <f t="shared" si="248"/>
        <v>123.65591397849462</v>
      </c>
      <c r="E106" s="118">
        <v>92</v>
      </c>
      <c r="H106" s="123"/>
      <c r="J106" s="124">
        <v>1.25</v>
      </c>
      <c r="K106" s="125">
        <f t="shared" si="249"/>
        <v>154.56989247311827</v>
      </c>
      <c r="L106" s="125">
        <f t="shared" si="262"/>
        <v>115</v>
      </c>
      <c r="M106" s="124">
        <v>0.52</v>
      </c>
      <c r="N106" s="125">
        <f t="shared" si="250"/>
        <v>64.3010752688172</v>
      </c>
      <c r="O106" s="125">
        <f t="shared" si="263"/>
        <v>47.84</v>
      </c>
      <c r="P106" s="124">
        <v>0.96</v>
      </c>
      <c r="Q106" s="125">
        <f t="shared" si="251"/>
        <v>118.70967741935483</v>
      </c>
      <c r="R106" s="125">
        <f t="shared" si="264"/>
        <v>88.32</v>
      </c>
      <c r="S106" s="124">
        <v>0.96</v>
      </c>
      <c r="T106" s="125">
        <f t="shared" si="252"/>
        <v>118.70967741935483</v>
      </c>
      <c r="U106" s="125">
        <f t="shared" si="265"/>
        <v>88.32</v>
      </c>
      <c r="X106" s="123"/>
      <c r="Y106" s="123"/>
      <c r="Z106" s="124">
        <v>1.28</v>
      </c>
      <c r="AA106" s="125">
        <f t="shared" si="266"/>
        <v>158.27956989247312</v>
      </c>
      <c r="AB106" s="125">
        <f t="shared" si="253"/>
        <v>117.76</v>
      </c>
      <c r="AC106" s="124">
        <v>0.35</v>
      </c>
      <c r="AD106" s="125">
        <f t="shared" si="267"/>
        <v>43.279569892473113</v>
      </c>
      <c r="AE106" s="125">
        <f t="shared" si="254"/>
        <v>32.199999999999996</v>
      </c>
      <c r="AF106" s="124">
        <v>0.85</v>
      </c>
      <c r="AG106" s="125">
        <f t="shared" si="268"/>
        <v>105.10752688172043</v>
      </c>
      <c r="AH106" s="125">
        <f t="shared" si="255"/>
        <v>78.2</v>
      </c>
      <c r="AI106" s="124">
        <v>0.85</v>
      </c>
      <c r="AJ106" s="125">
        <f t="shared" si="269"/>
        <v>105.10752688172043</v>
      </c>
      <c r="AK106" s="125">
        <f t="shared" si="256"/>
        <v>78.2</v>
      </c>
      <c r="AL106" s="162"/>
      <c r="AN106" s="123"/>
      <c r="AO106" s="123"/>
      <c r="AP106" s="124">
        <v>1.06</v>
      </c>
      <c r="AQ106" s="125">
        <f t="shared" si="270"/>
        <v>131.07526881720432</v>
      </c>
      <c r="AR106" s="125">
        <f t="shared" si="257"/>
        <v>97.52000000000001</v>
      </c>
      <c r="AS106" s="124">
        <v>0.34</v>
      </c>
      <c r="AT106" s="125">
        <f t="shared" si="271"/>
        <v>42.043010752688176</v>
      </c>
      <c r="AU106" s="125">
        <f t="shared" si="258"/>
        <v>31.28</v>
      </c>
      <c r="AV106" s="124">
        <v>0.67</v>
      </c>
      <c r="AW106" s="125">
        <f t="shared" si="272"/>
        <v>82.849462365591407</v>
      </c>
      <c r="AX106" s="125">
        <f t="shared" si="259"/>
        <v>61.64</v>
      </c>
      <c r="AY106" s="124">
        <v>0.67</v>
      </c>
      <c r="AZ106" s="125">
        <f t="shared" si="273"/>
        <v>82.849462365591407</v>
      </c>
      <c r="BA106" s="125">
        <f t="shared" si="260"/>
        <v>61.64</v>
      </c>
      <c r="BD106" s="139">
        <f t="shared" si="274"/>
        <v>142.82258064516128</v>
      </c>
      <c r="BE106" s="139">
        <f t="shared" si="275"/>
        <v>106.26</v>
      </c>
      <c r="BF106" s="139">
        <f t="shared" si="276"/>
        <v>53.172043010752688</v>
      </c>
      <c r="BG106" s="139">
        <f t="shared" si="277"/>
        <v>39.56</v>
      </c>
      <c r="BH106" s="139">
        <f t="shared" si="278"/>
        <v>100.77956989247312</v>
      </c>
      <c r="BI106" s="139">
        <f t="shared" si="279"/>
        <v>74.97999999999999</v>
      </c>
      <c r="BJ106" s="139">
        <f t="shared" si="280"/>
        <v>100.77956989247312</v>
      </c>
      <c r="BK106" s="139">
        <f t="shared" si="281"/>
        <v>74.97999999999999</v>
      </c>
    </row>
    <row r="107" spans="1:63" ht="14.4">
      <c r="A107" s="126" t="s">
        <v>58</v>
      </c>
      <c r="B107" s="118">
        <v>30</v>
      </c>
      <c r="C107" s="118">
        <f t="shared" si="261"/>
        <v>720</v>
      </c>
      <c r="D107" s="122">
        <f t="shared" si="248"/>
        <v>191.66666666666666</v>
      </c>
      <c r="E107" s="118">
        <v>138</v>
      </c>
      <c r="H107" s="123"/>
      <c r="J107" s="124">
        <v>1.0900000000000001</v>
      </c>
      <c r="K107" s="125">
        <f t="shared" si="249"/>
        <v>208.91666666666669</v>
      </c>
      <c r="L107" s="125">
        <f t="shared" si="262"/>
        <v>150.42000000000002</v>
      </c>
      <c r="M107" s="124">
        <v>0.68</v>
      </c>
      <c r="N107" s="125">
        <f t="shared" si="250"/>
        <v>130.33333333333334</v>
      </c>
      <c r="O107" s="125">
        <f t="shared" si="263"/>
        <v>93.84</v>
      </c>
      <c r="P107" s="124">
        <v>0.94</v>
      </c>
      <c r="Q107" s="125">
        <f t="shared" si="251"/>
        <v>180.16666666666666</v>
      </c>
      <c r="R107" s="125">
        <f t="shared" si="264"/>
        <v>129.72</v>
      </c>
      <c r="S107" s="124">
        <v>0.94</v>
      </c>
      <c r="T107" s="125">
        <f t="shared" si="252"/>
        <v>180.16666666666666</v>
      </c>
      <c r="U107" s="125">
        <f t="shared" si="265"/>
        <v>129.72</v>
      </c>
      <c r="X107" s="123"/>
      <c r="Y107" s="123"/>
      <c r="Z107" s="124">
        <v>0.99</v>
      </c>
      <c r="AA107" s="125">
        <f>Z107*$D107</f>
        <v>189.75</v>
      </c>
      <c r="AB107" s="125">
        <f t="shared" si="253"/>
        <v>136.62</v>
      </c>
      <c r="AC107" s="124">
        <v>0.34</v>
      </c>
      <c r="AD107" s="125">
        <f>AC107*$D107</f>
        <v>65.166666666666671</v>
      </c>
      <c r="AE107" s="125">
        <f t="shared" si="254"/>
        <v>46.92</v>
      </c>
      <c r="AF107" s="124">
        <v>0.81</v>
      </c>
      <c r="AG107" s="125">
        <f>AF107*$D107</f>
        <v>155.25</v>
      </c>
      <c r="AH107" s="125">
        <f t="shared" si="255"/>
        <v>111.78</v>
      </c>
      <c r="AI107" s="124">
        <v>0.81</v>
      </c>
      <c r="AJ107" s="125">
        <f>AI107*$D107</f>
        <v>155.25</v>
      </c>
      <c r="AK107" s="125">
        <f t="shared" si="256"/>
        <v>111.78</v>
      </c>
      <c r="AL107" s="162"/>
      <c r="AN107" s="123"/>
      <c r="AO107" s="123"/>
      <c r="AP107" s="124">
        <v>0.72</v>
      </c>
      <c r="AQ107" s="125">
        <f>AP107*$D107</f>
        <v>138</v>
      </c>
      <c r="AR107" s="125">
        <f t="shared" si="257"/>
        <v>99.36</v>
      </c>
      <c r="AS107" s="124">
        <v>0.3</v>
      </c>
      <c r="AT107" s="125">
        <f>AS107*$D107</f>
        <v>57.499999999999993</v>
      </c>
      <c r="AU107" s="125">
        <f t="shared" si="258"/>
        <v>41.4</v>
      </c>
      <c r="AV107" s="124">
        <v>0.59</v>
      </c>
      <c r="AW107" s="125">
        <f>AV107*$D107</f>
        <v>113.08333333333333</v>
      </c>
      <c r="AX107" s="125">
        <f t="shared" si="259"/>
        <v>81.42</v>
      </c>
      <c r="AY107" s="124">
        <v>0.59</v>
      </c>
      <c r="AZ107" s="125">
        <f>AY107*$D107</f>
        <v>113.08333333333333</v>
      </c>
      <c r="BA107" s="125">
        <f t="shared" si="260"/>
        <v>81.42</v>
      </c>
      <c r="BD107" s="139">
        <f t="shared" si="274"/>
        <v>173.45833333333334</v>
      </c>
      <c r="BE107" s="139">
        <f t="shared" si="275"/>
        <v>124.89000000000001</v>
      </c>
      <c r="BF107" s="139">
        <f t="shared" si="276"/>
        <v>93.916666666666671</v>
      </c>
      <c r="BG107" s="139">
        <f t="shared" si="277"/>
        <v>67.62</v>
      </c>
      <c r="BH107" s="139">
        <f t="shared" si="278"/>
        <v>146.625</v>
      </c>
      <c r="BI107" s="139">
        <f t="shared" si="279"/>
        <v>105.57</v>
      </c>
      <c r="BJ107" s="139">
        <f t="shared" si="280"/>
        <v>146.625</v>
      </c>
      <c r="BK107" s="139">
        <f t="shared" si="281"/>
        <v>105.57</v>
      </c>
    </row>
    <row r="108" spans="1:63" ht="14.4">
      <c r="A108" s="126" t="s">
        <v>183</v>
      </c>
      <c r="B108" s="118">
        <v>31</v>
      </c>
      <c r="C108" s="118">
        <f t="shared" si="261"/>
        <v>744</v>
      </c>
      <c r="D108" s="122">
        <f t="shared" si="248"/>
        <v>219.08602150537635</v>
      </c>
      <c r="E108" s="118">
        <v>163</v>
      </c>
      <c r="H108" s="123"/>
      <c r="J108" s="124">
        <v>1.01</v>
      </c>
      <c r="K108" s="125">
        <f t="shared" si="249"/>
        <v>221.27688172043011</v>
      </c>
      <c r="L108" s="125">
        <f t="shared" si="262"/>
        <v>164.63</v>
      </c>
      <c r="M108" s="124">
        <v>0.79</v>
      </c>
      <c r="N108" s="125">
        <f t="shared" si="250"/>
        <v>173.07795698924733</v>
      </c>
      <c r="O108" s="125">
        <f t="shared" si="263"/>
        <v>128.77000000000001</v>
      </c>
      <c r="P108" s="124">
        <v>0.94</v>
      </c>
      <c r="Q108" s="125">
        <f t="shared" si="251"/>
        <v>205.94086021505376</v>
      </c>
      <c r="R108" s="125">
        <f t="shared" si="264"/>
        <v>153.22</v>
      </c>
      <c r="S108" s="124">
        <v>0.94</v>
      </c>
      <c r="T108" s="125">
        <f t="shared" si="252"/>
        <v>205.94086021505376</v>
      </c>
      <c r="U108" s="125">
        <f t="shared" si="265"/>
        <v>153.22</v>
      </c>
      <c r="X108" s="123"/>
      <c r="Y108" s="123"/>
      <c r="Z108" s="124">
        <v>0.84</v>
      </c>
      <c r="AA108" s="125">
        <f t="shared" ref="AA108:AA115" si="282">Z108*$D108</f>
        <v>184.03225806451613</v>
      </c>
      <c r="AB108" s="125">
        <f t="shared" si="253"/>
        <v>136.91999999999999</v>
      </c>
      <c r="AC108" s="124">
        <v>0.4</v>
      </c>
      <c r="AD108" s="125">
        <f t="shared" ref="AD108:AD115" si="283">AC108*$D108</f>
        <v>87.634408602150543</v>
      </c>
      <c r="AE108" s="125">
        <f t="shared" si="254"/>
        <v>65.2</v>
      </c>
      <c r="AF108" s="124">
        <v>0.79</v>
      </c>
      <c r="AG108" s="125">
        <f t="shared" ref="AG108:AG115" si="284">AF108*$D108</f>
        <v>173.07795698924733</v>
      </c>
      <c r="AH108" s="125">
        <f t="shared" si="255"/>
        <v>128.77000000000001</v>
      </c>
      <c r="AI108" s="124">
        <v>0.79</v>
      </c>
      <c r="AJ108" s="125">
        <f t="shared" ref="AJ108:AJ115" si="285">AI108*$D108</f>
        <v>173.07795698924733</v>
      </c>
      <c r="AK108" s="125">
        <f t="shared" si="256"/>
        <v>128.77000000000001</v>
      </c>
      <c r="AL108" s="162"/>
      <c r="AN108" s="123"/>
      <c r="AO108" s="123"/>
      <c r="AP108" s="124">
        <v>0.55000000000000004</v>
      </c>
      <c r="AQ108" s="125">
        <f t="shared" si="270"/>
        <v>120.49731182795701</v>
      </c>
      <c r="AR108" s="125">
        <f t="shared" si="257"/>
        <v>89.65</v>
      </c>
      <c r="AS108" s="124">
        <v>0.3</v>
      </c>
      <c r="AT108" s="125">
        <f t="shared" si="271"/>
        <v>65.725806451612897</v>
      </c>
      <c r="AU108" s="125">
        <f t="shared" si="258"/>
        <v>48.9</v>
      </c>
      <c r="AV108" s="124">
        <v>0.56000000000000005</v>
      </c>
      <c r="AW108" s="125">
        <f t="shared" si="272"/>
        <v>122.68817204301077</v>
      </c>
      <c r="AX108" s="125">
        <f t="shared" si="259"/>
        <v>91.280000000000015</v>
      </c>
      <c r="AY108" s="124">
        <v>0.56000000000000005</v>
      </c>
      <c r="AZ108" s="125">
        <f t="shared" si="273"/>
        <v>122.68817204301077</v>
      </c>
      <c r="BA108" s="125">
        <f t="shared" si="260"/>
        <v>91.280000000000015</v>
      </c>
      <c r="BD108" s="139">
        <f t="shared" si="274"/>
        <v>170.88709677419357</v>
      </c>
      <c r="BE108" s="139">
        <f t="shared" si="275"/>
        <v>127.14</v>
      </c>
      <c r="BF108" s="139">
        <f t="shared" si="276"/>
        <v>119.40188172043011</v>
      </c>
      <c r="BG108" s="139">
        <f t="shared" si="277"/>
        <v>88.835000000000008</v>
      </c>
      <c r="BH108" s="139">
        <f t="shared" si="278"/>
        <v>164.31451612903226</v>
      </c>
      <c r="BI108" s="139">
        <f t="shared" si="279"/>
        <v>122.25</v>
      </c>
      <c r="BJ108" s="139">
        <f t="shared" si="280"/>
        <v>164.31451612903226</v>
      </c>
      <c r="BK108" s="139">
        <f t="shared" si="281"/>
        <v>122.25</v>
      </c>
    </row>
    <row r="109" spans="1:63" ht="14.4">
      <c r="A109" s="126" t="s">
        <v>184</v>
      </c>
      <c r="B109" s="118">
        <v>30</v>
      </c>
      <c r="C109" s="118">
        <f t="shared" si="261"/>
        <v>720</v>
      </c>
      <c r="D109" s="122">
        <f t="shared" si="248"/>
        <v>238.88888888888889</v>
      </c>
      <c r="E109" s="118">
        <v>172</v>
      </c>
      <c r="H109" s="123"/>
      <c r="J109" s="124">
        <v>0.97</v>
      </c>
      <c r="K109" s="125">
        <f t="shared" si="249"/>
        <v>231.7222222222222</v>
      </c>
      <c r="L109" s="125">
        <f t="shared" si="262"/>
        <v>166.84</v>
      </c>
      <c r="M109" s="124">
        <v>0.82</v>
      </c>
      <c r="N109" s="125">
        <f t="shared" si="250"/>
        <v>195.88888888888889</v>
      </c>
      <c r="O109" s="125">
        <f t="shared" si="263"/>
        <v>141.04</v>
      </c>
      <c r="P109" s="124">
        <v>0.93</v>
      </c>
      <c r="Q109" s="125">
        <f t="shared" si="251"/>
        <v>222.16666666666669</v>
      </c>
      <c r="R109" s="125">
        <f t="shared" si="264"/>
        <v>159.96</v>
      </c>
      <c r="S109" s="124">
        <v>0.93</v>
      </c>
      <c r="T109" s="125">
        <f t="shared" si="252"/>
        <v>222.16666666666669</v>
      </c>
      <c r="U109" s="125">
        <f t="shared" si="265"/>
        <v>159.96</v>
      </c>
      <c r="X109" s="123"/>
      <c r="Y109" s="123"/>
      <c r="Z109" s="124">
        <v>0.78</v>
      </c>
      <c r="AA109" s="125">
        <f t="shared" si="282"/>
        <v>186.33333333333334</v>
      </c>
      <c r="AB109" s="125">
        <f t="shared" si="253"/>
        <v>134.16</v>
      </c>
      <c r="AC109" s="124">
        <v>0.45</v>
      </c>
      <c r="AD109" s="125">
        <f t="shared" si="283"/>
        <v>107.5</v>
      </c>
      <c r="AE109" s="125">
        <f t="shared" si="254"/>
        <v>77.400000000000006</v>
      </c>
      <c r="AF109" s="124">
        <v>0.78</v>
      </c>
      <c r="AG109" s="125">
        <f t="shared" si="284"/>
        <v>186.33333333333334</v>
      </c>
      <c r="AH109" s="125">
        <f t="shared" si="255"/>
        <v>134.16</v>
      </c>
      <c r="AI109" s="124">
        <v>0.78</v>
      </c>
      <c r="AJ109" s="125">
        <f t="shared" si="285"/>
        <v>186.33333333333334</v>
      </c>
      <c r="AK109" s="125">
        <f t="shared" si="256"/>
        <v>134.16</v>
      </c>
      <c r="AL109" s="162"/>
      <c r="AN109" s="123"/>
      <c r="AO109" s="123"/>
      <c r="AP109" s="124">
        <v>0.5</v>
      </c>
      <c r="AQ109" s="125">
        <f t="shared" si="270"/>
        <v>119.44444444444444</v>
      </c>
      <c r="AR109" s="125">
        <f t="shared" si="257"/>
        <v>86</v>
      </c>
      <c r="AS109" s="124">
        <v>0.32</v>
      </c>
      <c r="AT109" s="125">
        <f t="shared" si="271"/>
        <v>76.444444444444443</v>
      </c>
      <c r="AU109" s="125">
        <f t="shared" si="258"/>
        <v>55.04</v>
      </c>
      <c r="AV109" s="124">
        <v>0.55000000000000004</v>
      </c>
      <c r="AW109" s="125">
        <f t="shared" si="272"/>
        <v>131.38888888888889</v>
      </c>
      <c r="AX109" s="125">
        <f t="shared" si="259"/>
        <v>94.600000000000009</v>
      </c>
      <c r="AY109" s="124">
        <v>0.55000000000000004</v>
      </c>
      <c r="AZ109" s="125">
        <f t="shared" si="273"/>
        <v>131.38888888888889</v>
      </c>
      <c r="BA109" s="125">
        <f t="shared" si="260"/>
        <v>94.600000000000009</v>
      </c>
      <c r="BD109" s="139">
        <f t="shared" si="274"/>
        <v>175.58333333333331</v>
      </c>
      <c r="BE109" s="139">
        <f t="shared" si="275"/>
        <v>126.42</v>
      </c>
      <c r="BF109" s="139">
        <f t="shared" si="276"/>
        <v>136.16666666666666</v>
      </c>
      <c r="BG109" s="139">
        <f t="shared" si="277"/>
        <v>98.039999999999992</v>
      </c>
      <c r="BH109" s="139">
        <f t="shared" si="278"/>
        <v>176.77777777777777</v>
      </c>
      <c r="BI109" s="139">
        <f t="shared" si="279"/>
        <v>127.28</v>
      </c>
      <c r="BJ109" s="139">
        <f t="shared" si="280"/>
        <v>176.77777777777777</v>
      </c>
      <c r="BK109" s="139">
        <f>(U109+BA109)/2</f>
        <v>127.28</v>
      </c>
    </row>
    <row r="110" spans="1:63" ht="14.4">
      <c r="A110" s="126" t="s">
        <v>185</v>
      </c>
      <c r="B110" s="118">
        <v>31</v>
      </c>
      <c r="C110" s="118">
        <f t="shared" si="261"/>
        <v>744</v>
      </c>
      <c r="D110" s="122">
        <f t="shared" si="248"/>
        <v>227.15053763440861</v>
      </c>
      <c r="E110" s="118">
        <v>169</v>
      </c>
      <c r="H110" s="123"/>
      <c r="I110" s="117" t="s">
        <v>189</v>
      </c>
      <c r="J110" s="124">
        <v>0.98</v>
      </c>
      <c r="K110" s="125">
        <f t="shared" si="249"/>
        <v>222.60752688172042</v>
      </c>
      <c r="L110" s="125">
        <f t="shared" si="262"/>
        <v>165.62</v>
      </c>
      <c r="M110" s="124">
        <v>0.81</v>
      </c>
      <c r="N110" s="125">
        <f t="shared" si="250"/>
        <v>183.99193548387098</v>
      </c>
      <c r="O110" s="125">
        <f t="shared" si="263"/>
        <v>136.89000000000001</v>
      </c>
      <c r="P110" s="124">
        <v>0.93</v>
      </c>
      <c r="Q110" s="125">
        <f t="shared" si="251"/>
        <v>211.25000000000003</v>
      </c>
      <c r="R110" s="125">
        <f t="shared" si="264"/>
        <v>157.17000000000002</v>
      </c>
      <c r="S110" s="124">
        <v>0.93</v>
      </c>
      <c r="T110" s="125">
        <f t="shared" si="252"/>
        <v>211.25000000000003</v>
      </c>
      <c r="U110" s="125">
        <f t="shared" si="265"/>
        <v>157.17000000000002</v>
      </c>
      <c r="W110" s="117" t="s">
        <v>189</v>
      </c>
      <c r="X110" s="123"/>
      <c r="Y110" s="123"/>
      <c r="Z110" s="124">
        <v>0.81</v>
      </c>
      <c r="AA110" s="125">
        <f t="shared" si="282"/>
        <v>183.99193548387098</v>
      </c>
      <c r="AB110" s="125">
        <f t="shared" si="253"/>
        <v>136.89000000000001</v>
      </c>
      <c r="AC110" s="124">
        <v>0.42</v>
      </c>
      <c r="AD110" s="125">
        <f t="shared" si="283"/>
        <v>95.403225806451616</v>
      </c>
      <c r="AE110" s="125">
        <f t="shared" si="254"/>
        <v>70.98</v>
      </c>
      <c r="AF110" s="124">
        <v>0.78</v>
      </c>
      <c r="AG110" s="125">
        <f t="shared" si="284"/>
        <v>177.17741935483872</v>
      </c>
      <c r="AH110" s="125">
        <f t="shared" si="255"/>
        <v>131.82</v>
      </c>
      <c r="AI110" s="124">
        <v>0.78</v>
      </c>
      <c r="AJ110" s="125">
        <f t="shared" si="285"/>
        <v>177.17741935483872</v>
      </c>
      <c r="AK110" s="125">
        <f t="shared" si="256"/>
        <v>131.82</v>
      </c>
      <c r="AL110" s="162"/>
      <c r="AM110" s="117" t="s">
        <v>189</v>
      </c>
      <c r="AN110" s="123"/>
      <c r="AO110" s="123"/>
      <c r="AP110" s="124">
        <v>0.52</v>
      </c>
      <c r="AQ110" s="125">
        <f t="shared" si="270"/>
        <v>118.11827956989248</v>
      </c>
      <c r="AR110" s="125">
        <f t="shared" si="257"/>
        <v>87.88000000000001</v>
      </c>
      <c r="AS110" s="124">
        <v>0.31</v>
      </c>
      <c r="AT110" s="125">
        <f t="shared" si="271"/>
        <v>70.416666666666671</v>
      </c>
      <c r="AU110" s="125">
        <f t="shared" si="258"/>
        <v>52.39</v>
      </c>
      <c r="AV110" s="124">
        <v>0.55000000000000004</v>
      </c>
      <c r="AW110" s="125">
        <f t="shared" si="272"/>
        <v>124.93279569892475</v>
      </c>
      <c r="AX110" s="125">
        <f t="shared" si="259"/>
        <v>92.95</v>
      </c>
      <c r="AY110" s="124">
        <v>0.55000000000000004</v>
      </c>
      <c r="AZ110" s="125">
        <f t="shared" si="273"/>
        <v>124.93279569892475</v>
      </c>
      <c r="BA110" s="125">
        <f t="shared" si="260"/>
        <v>92.95</v>
      </c>
      <c r="BC110" s="117" t="s">
        <v>189</v>
      </c>
      <c r="BD110" s="139">
        <f t="shared" si="274"/>
        <v>170.36290322580646</v>
      </c>
      <c r="BE110" s="139">
        <f t="shared" si="275"/>
        <v>126.75</v>
      </c>
      <c r="BF110" s="139">
        <f t="shared" si="276"/>
        <v>127.20430107526883</v>
      </c>
      <c r="BG110" s="139">
        <f t="shared" si="277"/>
        <v>94.640000000000015</v>
      </c>
      <c r="BH110" s="139">
        <f t="shared" si="278"/>
        <v>168.0913978494624</v>
      </c>
      <c r="BI110" s="139">
        <f t="shared" si="279"/>
        <v>125.06</v>
      </c>
      <c r="BJ110" s="139">
        <f t="shared" si="280"/>
        <v>168.0913978494624</v>
      </c>
      <c r="BK110" s="139">
        <f t="shared" ref="BK110:BK111" si="286">(U110+BA110)/2</f>
        <v>125.06</v>
      </c>
    </row>
    <row r="111" spans="1:63" ht="14.4">
      <c r="A111" s="126" t="s">
        <v>186</v>
      </c>
      <c r="B111" s="118">
        <v>31</v>
      </c>
      <c r="C111" s="118">
        <f t="shared" si="261"/>
        <v>744</v>
      </c>
      <c r="D111" s="122">
        <f t="shared" si="248"/>
        <v>200.26881720430109</v>
      </c>
      <c r="E111" s="118">
        <v>149</v>
      </c>
      <c r="H111" s="123"/>
      <c r="I111" s="117" t="s">
        <v>243</v>
      </c>
      <c r="J111" s="124">
        <v>1.04</v>
      </c>
      <c r="K111" s="125">
        <f t="shared" si="249"/>
        <v>208.27956989247315</v>
      </c>
      <c r="L111" s="125">
        <f t="shared" si="262"/>
        <v>154.96</v>
      </c>
      <c r="M111" s="124">
        <v>0.73</v>
      </c>
      <c r="N111" s="125">
        <f t="shared" si="250"/>
        <v>146.19623655913978</v>
      </c>
      <c r="O111" s="125">
        <f t="shared" si="263"/>
        <v>108.77</v>
      </c>
      <c r="P111" s="124">
        <v>0.94</v>
      </c>
      <c r="Q111" s="125">
        <f t="shared" si="251"/>
        <v>188.25268817204301</v>
      </c>
      <c r="R111" s="125">
        <f t="shared" si="264"/>
        <v>140.06</v>
      </c>
      <c r="S111" s="124">
        <v>0.94</v>
      </c>
      <c r="T111" s="125">
        <f t="shared" si="252"/>
        <v>188.25268817204301</v>
      </c>
      <c r="U111" s="125">
        <f t="shared" si="265"/>
        <v>140.06</v>
      </c>
      <c r="W111" s="117" t="s">
        <v>243</v>
      </c>
      <c r="X111" s="123"/>
      <c r="Y111" s="123"/>
      <c r="Z111" s="124">
        <v>0.91</v>
      </c>
      <c r="AA111" s="125">
        <f t="shared" si="282"/>
        <v>182.24462365591398</v>
      </c>
      <c r="AB111" s="125">
        <f t="shared" si="253"/>
        <v>135.59</v>
      </c>
      <c r="AC111" s="124">
        <v>0.35</v>
      </c>
      <c r="AD111" s="125">
        <f t="shared" si="283"/>
        <v>70.094086021505376</v>
      </c>
      <c r="AE111" s="125">
        <f t="shared" si="254"/>
        <v>52.15</v>
      </c>
      <c r="AF111" s="124">
        <v>0.79</v>
      </c>
      <c r="AG111" s="125">
        <f t="shared" si="284"/>
        <v>158.21236559139786</v>
      </c>
      <c r="AH111" s="125">
        <f t="shared" si="255"/>
        <v>117.71000000000001</v>
      </c>
      <c r="AI111" s="124">
        <v>0.79</v>
      </c>
      <c r="AJ111" s="125">
        <f t="shared" si="285"/>
        <v>158.21236559139786</v>
      </c>
      <c r="AK111" s="125">
        <f t="shared" si="256"/>
        <v>117.71000000000001</v>
      </c>
      <c r="AL111" s="162"/>
      <c r="AM111" s="117" t="s">
        <v>243</v>
      </c>
      <c r="AN111" s="123"/>
      <c r="AO111" s="123"/>
      <c r="AP111" s="124">
        <v>0.62</v>
      </c>
      <c r="AQ111" s="125">
        <f t="shared" si="270"/>
        <v>124.16666666666667</v>
      </c>
      <c r="AR111" s="125">
        <f t="shared" si="257"/>
        <v>92.38</v>
      </c>
      <c r="AS111" s="124">
        <v>0.3</v>
      </c>
      <c r="AT111" s="125">
        <f t="shared" si="271"/>
        <v>60.08064516129032</v>
      </c>
      <c r="AU111" s="125">
        <f t="shared" si="258"/>
        <v>44.699999999999996</v>
      </c>
      <c r="AV111" s="124">
        <v>0.56999999999999995</v>
      </c>
      <c r="AW111" s="125">
        <f t="shared" si="272"/>
        <v>114.15322580645162</v>
      </c>
      <c r="AX111" s="125">
        <f t="shared" si="259"/>
        <v>84.929999999999993</v>
      </c>
      <c r="AY111" s="124">
        <v>0.56999999999999995</v>
      </c>
      <c r="AZ111" s="125">
        <f t="shared" si="273"/>
        <v>114.15322580645162</v>
      </c>
      <c r="BA111" s="125">
        <f t="shared" si="260"/>
        <v>84.929999999999993</v>
      </c>
      <c r="BC111" s="117" t="s">
        <v>243</v>
      </c>
      <c r="BD111" s="139">
        <f t="shared" si="274"/>
        <v>166.22311827956992</v>
      </c>
      <c r="BE111" s="139">
        <f>(L111+AR111)/2</f>
        <v>123.67</v>
      </c>
      <c r="BF111" s="139">
        <f t="shared" si="276"/>
        <v>103.13844086021504</v>
      </c>
      <c r="BG111" s="139">
        <f>(O111+AU111)/2</f>
        <v>76.734999999999999</v>
      </c>
      <c r="BH111" s="139">
        <f t="shared" si="278"/>
        <v>151.2029569892473</v>
      </c>
      <c r="BI111" s="139">
        <f t="shared" si="279"/>
        <v>112.495</v>
      </c>
      <c r="BJ111" s="139">
        <f t="shared" si="280"/>
        <v>151.2029569892473</v>
      </c>
      <c r="BK111" s="139">
        <f t="shared" si="286"/>
        <v>112.495</v>
      </c>
    </row>
    <row r="112" spans="1:63" ht="14.4">
      <c r="A112" s="126" t="s">
        <v>187</v>
      </c>
      <c r="B112" s="118">
        <v>30</v>
      </c>
      <c r="C112" s="118">
        <f t="shared" si="261"/>
        <v>720</v>
      </c>
      <c r="D112" s="122">
        <f t="shared" si="248"/>
        <v>156.94444444444446</v>
      </c>
      <c r="E112" s="118">
        <v>113</v>
      </c>
      <c r="H112" s="123"/>
      <c r="J112" s="124">
        <v>1.17</v>
      </c>
      <c r="K112" s="125">
        <f t="shared" si="249"/>
        <v>183.625</v>
      </c>
      <c r="L112" s="125">
        <f t="shared" si="262"/>
        <v>132.20999999999998</v>
      </c>
      <c r="M112" s="124">
        <v>0.59</v>
      </c>
      <c r="N112" s="125">
        <f t="shared" si="250"/>
        <v>92.597222222222229</v>
      </c>
      <c r="O112" s="125">
        <f t="shared" si="263"/>
        <v>66.67</v>
      </c>
      <c r="P112" s="124">
        <v>0.95</v>
      </c>
      <c r="Q112" s="125">
        <f t="shared" si="251"/>
        <v>149.09722222222223</v>
      </c>
      <c r="R112" s="125">
        <f t="shared" si="264"/>
        <v>107.35</v>
      </c>
      <c r="S112" s="124">
        <v>0.95</v>
      </c>
      <c r="T112" s="125">
        <f t="shared" si="252"/>
        <v>149.09722222222223</v>
      </c>
      <c r="U112" s="125">
        <f t="shared" si="265"/>
        <v>107.35</v>
      </c>
      <c r="X112" s="123"/>
      <c r="Y112" s="123"/>
      <c r="Z112" s="124">
        <v>1.1100000000000001</v>
      </c>
      <c r="AA112" s="125">
        <f t="shared" si="282"/>
        <v>174.20833333333337</v>
      </c>
      <c r="AB112" s="125">
        <f t="shared" si="253"/>
        <v>125.43</v>
      </c>
      <c r="AC112" s="124">
        <v>0.31</v>
      </c>
      <c r="AD112" s="125">
        <f t="shared" si="283"/>
        <v>48.652777777777779</v>
      </c>
      <c r="AE112" s="125">
        <f t="shared" si="254"/>
        <v>35.03</v>
      </c>
      <c r="AF112" s="124">
        <v>0.81</v>
      </c>
      <c r="AG112" s="125">
        <f t="shared" si="284"/>
        <v>127.12500000000001</v>
      </c>
      <c r="AH112" s="125">
        <f t="shared" si="255"/>
        <v>91.53</v>
      </c>
      <c r="AI112" s="124">
        <v>0.81</v>
      </c>
      <c r="AJ112" s="125">
        <f t="shared" si="285"/>
        <v>127.12500000000001</v>
      </c>
      <c r="AK112" s="125">
        <f t="shared" si="256"/>
        <v>91.53</v>
      </c>
      <c r="AL112" s="162"/>
      <c r="AN112" s="123"/>
      <c r="AO112" s="123"/>
      <c r="AP112" s="124">
        <v>0.85</v>
      </c>
      <c r="AQ112" s="125">
        <f t="shared" si="270"/>
        <v>133.40277777777777</v>
      </c>
      <c r="AR112" s="125">
        <f t="shared" si="257"/>
        <v>96.05</v>
      </c>
      <c r="AS112" s="124">
        <v>0.28000000000000003</v>
      </c>
      <c r="AT112" s="125">
        <f t="shared" si="271"/>
        <v>43.94444444444445</v>
      </c>
      <c r="AU112" s="125">
        <f t="shared" si="258"/>
        <v>31.640000000000004</v>
      </c>
      <c r="AV112" s="124">
        <v>0.6</v>
      </c>
      <c r="AW112" s="125">
        <f t="shared" si="272"/>
        <v>94.166666666666671</v>
      </c>
      <c r="AX112" s="125">
        <f t="shared" si="259"/>
        <v>67.8</v>
      </c>
      <c r="AY112" s="124">
        <v>0.6</v>
      </c>
      <c r="AZ112" s="125">
        <f t="shared" si="273"/>
        <v>94.166666666666671</v>
      </c>
      <c r="BA112" s="125">
        <f t="shared" si="260"/>
        <v>67.8</v>
      </c>
      <c r="BD112" s="139">
        <f t="shared" si="274"/>
        <v>158.51388888888889</v>
      </c>
      <c r="BE112" s="139">
        <f t="shared" ref="BE112:BE115" si="287">(L112+AR112)/2</f>
        <v>114.13</v>
      </c>
      <c r="BF112" s="139">
        <f t="shared" si="276"/>
        <v>68.270833333333343</v>
      </c>
      <c r="BG112" s="139">
        <f t="shared" ref="BG112:BG115" si="288">(O112+AU112)/2</f>
        <v>49.155000000000001</v>
      </c>
      <c r="BH112" s="139">
        <f t="shared" si="278"/>
        <v>121.63194444444446</v>
      </c>
      <c r="BI112" s="139">
        <f t="shared" si="279"/>
        <v>87.574999999999989</v>
      </c>
      <c r="BJ112" s="139">
        <f t="shared" si="280"/>
        <v>121.63194444444446</v>
      </c>
      <c r="BK112" s="139">
        <f>(U112+BA112)/2</f>
        <v>87.574999999999989</v>
      </c>
    </row>
    <row r="113" spans="1:63" ht="14.4">
      <c r="A113" s="126" t="s">
        <v>59</v>
      </c>
      <c r="B113" s="118">
        <v>31</v>
      </c>
      <c r="C113" s="118">
        <f t="shared" si="261"/>
        <v>744</v>
      </c>
      <c r="D113" s="122">
        <f t="shared" si="248"/>
        <v>88.709677419354833</v>
      </c>
      <c r="E113" s="118">
        <v>66</v>
      </c>
      <c r="H113" s="123"/>
      <c r="J113" s="124">
        <v>1.33</v>
      </c>
      <c r="K113" s="125">
        <f t="shared" si="249"/>
        <v>117.98387096774194</v>
      </c>
      <c r="L113" s="125">
        <f t="shared" si="262"/>
        <v>87.78</v>
      </c>
      <c r="M113" s="124">
        <v>0.45</v>
      </c>
      <c r="N113" s="125">
        <f t="shared" si="250"/>
        <v>39.919354838709673</v>
      </c>
      <c r="O113" s="125">
        <f t="shared" si="263"/>
        <v>29.7</v>
      </c>
      <c r="P113" s="124">
        <v>0.96</v>
      </c>
      <c r="Q113" s="125">
        <f t="shared" si="251"/>
        <v>85.161290322580641</v>
      </c>
      <c r="R113" s="125">
        <f t="shared" si="264"/>
        <v>63.36</v>
      </c>
      <c r="S113" s="124">
        <v>0.96</v>
      </c>
      <c r="T113" s="125">
        <f t="shared" si="252"/>
        <v>85.161290322580641</v>
      </c>
      <c r="U113" s="125">
        <f t="shared" si="265"/>
        <v>63.36</v>
      </c>
      <c r="X113" s="123"/>
      <c r="Y113" s="123"/>
      <c r="Z113" s="124">
        <v>1.4</v>
      </c>
      <c r="AA113" s="125">
        <f t="shared" si="282"/>
        <v>124.19354838709675</v>
      </c>
      <c r="AB113" s="125">
        <f t="shared" si="253"/>
        <v>92.399999999999991</v>
      </c>
      <c r="AC113" s="124">
        <v>0.34</v>
      </c>
      <c r="AD113" s="125">
        <f t="shared" si="283"/>
        <v>30.161290322580644</v>
      </c>
      <c r="AE113" s="125">
        <f t="shared" si="254"/>
        <v>22.44</v>
      </c>
      <c r="AF113" s="124">
        <v>0.84</v>
      </c>
      <c r="AG113" s="125">
        <f t="shared" si="284"/>
        <v>74.51612903225805</v>
      </c>
      <c r="AH113" s="125">
        <f t="shared" si="255"/>
        <v>55.44</v>
      </c>
      <c r="AI113" s="124">
        <v>0.84</v>
      </c>
      <c r="AJ113" s="125">
        <f t="shared" si="285"/>
        <v>74.51612903225805</v>
      </c>
      <c r="AK113" s="125">
        <f t="shared" si="256"/>
        <v>55.44</v>
      </c>
      <c r="AL113" s="162"/>
      <c r="AN113" s="123"/>
      <c r="AO113" s="123"/>
      <c r="AP113" s="124">
        <v>1.19</v>
      </c>
      <c r="AQ113" s="125">
        <f t="shared" si="270"/>
        <v>105.56451612903224</v>
      </c>
      <c r="AR113" s="125">
        <f t="shared" si="257"/>
        <v>78.539999999999992</v>
      </c>
      <c r="AS113" s="124">
        <v>0.3</v>
      </c>
      <c r="AT113" s="125">
        <f t="shared" si="271"/>
        <v>26.612903225806448</v>
      </c>
      <c r="AU113" s="125">
        <f t="shared" si="258"/>
        <v>19.8</v>
      </c>
      <c r="AV113" s="124">
        <v>0.63</v>
      </c>
      <c r="AW113" s="125">
        <f t="shared" si="272"/>
        <v>55.887096774193544</v>
      </c>
      <c r="AX113" s="125">
        <f t="shared" si="259"/>
        <v>41.58</v>
      </c>
      <c r="AY113" s="124">
        <v>0.63</v>
      </c>
      <c r="AZ113" s="125">
        <f t="shared" si="273"/>
        <v>55.887096774193544</v>
      </c>
      <c r="BA113" s="125">
        <f t="shared" si="260"/>
        <v>41.58</v>
      </c>
      <c r="BD113" s="139">
        <f t="shared" si="274"/>
        <v>111.77419354838709</v>
      </c>
      <c r="BE113" s="139">
        <f t="shared" si="287"/>
        <v>83.16</v>
      </c>
      <c r="BF113" s="139">
        <f t="shared" si="276"/>
        <v>33.266129032258064</v>
      </c>
      <c r="BG113" s="139">
        <f t="shared" si="288"/>
        <v>24.75</v>
      </c>
      <c r="BH113" s="139">
        <f t="shared" si="278"/>
        <v>70.524193548387089</v>
      </c>
      <c r="BI113" s="139">
        <f t="shared" si="279"/>
        <v>52.47</v>
      </c>
      <c r="BJ113" s="139">
        <f t="shared" si="280"/>
        <v>70.524193548387089</v>
      </c>
      <c r="BK113" s="139">
        <f t="shared" ref="BK113:BK115" si="289">(U113+BA113)/2</f>
        <v>52.47</v>
      </c>
    </row>
    <row r="114" spans="1:63" ht="14.4">
      <c r="A114" s="126" t="s">
        <v>60</v>
      </c>
      <c r="B114" s="118">
        <v>30</v>
      </c>
      <c r="C114" s="118">
        <f t="shared" si="261"/>
        <v>720</v>
      </c>
      <c r="D114" s="122">
        <f t="shared" si="248"/>
        <v>45.833333333333336</v>
      </c>
      <c r="E114" s="118">
        <v>33</v>
      </c>
      <c r="H114" s="123"/>
      <c r="J114" s="124">
        <v>1.52</v>
      </c>
      <c r="K114" s="125">
        <f t="shared" si="249"/>
        <v>69.666666666666671</v>
      </c>
      <c r="L114" s="125">
        <f t="shared" si="262"/>
        <v>50.160000000000004</v>
      </c>
      <c r="M114" s="124">
        <v>0.47</v>
      </c>
      <c r="N114" s="125">
        <f t="shared" si="250"/>
        <v>21.541666666666668</v>
      </c>
      <c r="O114" s="125">
        <f t="shared" si="263"/>
        <v>15.51</v>
      </c>
      <c r="P114" s="124">
        <v>0.97</v>
      </c>
      <c r="Q114" s="125">
        <f t="shared" si="251"/>
        <v>44.458333333333336</v>
      </c>
      <c r="R114" s="125">
        <f t="shared" si="264"/>
        <v>32.01</v>
      </c>
      <c r="S114" s="124">
        <v>0.97</v>
      </c>
      <c r="T114" s="125">
        <f t="shared" si="252"/>
        <v>44.458333333333336</v>
      </c>
      <c r="U114" s="125">
        <f t="shared" si="265"/>
        <v>32.01</v>
      </c>
      <c r="X114" s="123"/>
      <c r="Y114" s="123"/>
      <c r="Z114" s="124">
        <v>1.75</v>
      </c>
      <c r="AA114" s="125">
        <f t="shared" si="282"/>
        <v>80.208333333333343</v>
      </c>
      <c r="AB114" s="125">
        <f t="shared" si="253"/>
        <v>57.75</v>
      </c>
      <c r="AC114" s="124">
        <v>0.4</v>
      </c>
      <c r="AD114" s="125">
        <f t="shared" si="283"/>
        <v>18.333333333333336</v>
      </c>
      <c r="AE114" s="125">
        <f t="shared" si="254"/>
        <v>13.200000000000001</v>
      </c>
      <c r="AF114" s="124">
        <v>0.86</v>
      </c>
      <c r="AG114" s="125">
        <f t="shared" si="284"/>
        <v>39.416666666666671</v>
      </c>
      <c r="AH114" s="125">
        <f t="shared" si="255"/>
        <v>28.38</v>
      </c>
      <c r="AI114" s="124">
        <v>0.86</v>
      </c>
      <c r="AJ114" s="125">
        <f t="shared" si="285"/>
        <v>39.416666666666671</v>
      </c>
      <c r="AK114" s="125">
        <f t="shared" si="256"/>
        <v>28.38</v>
      </c>
      <c r="AL114" s="162"/>
      <c r="AN114" s="123"/>
      <c r="AO114" s="123"/>
      <c r="AP114" s="124">
        <v>1.62</v>
      </c>
      <c r="AQ114" s="125">
        <f t="shared" si="270"/>
        <v>74.250000000000014</v>
      </c>
      <c r="AR114" s="125">
        <f t="shared" si="257"/>
        <v>53.46</v>
      </c>
      <c r="AS114" s="124">
        <v>0.37</v>
      </c>
      <c r="AT114" s="125">
        <f t="shared" si="271"/>
        <v>16.958333333333336</v>
      </c>
      <c r="AU114" s="125">
        <f t="shared" si="258"/>
        <v>12.209999999999999</v>
      </c>
      <c r="AV114" s="124">
        <v>0.65</v>
      </c>
      <c r="AW114" s="125">
        <f t="shared" si="272"/>
        <v>29.791666666666668</v>
      </c>
      <c r="AX114" s="125">
        <f t="shared" si="259"/>
        <v>21.45</v>
      </c>
      <c r="AY114" s="124">
        <v>0.65</v>
      </c>
      <c r="AZ114" s="125">
        <f t="shared" si="273"/>
        <v>29.791666666666668</v>
      </c>
      <c r="BA114" s="125">
        <f t="shared" si="260"/>
        <v>21.45</v>
      </c>
      <c r="BD114" s="139">
        <f t="shared" si="274"/>
        <v>71.958333333333343</v>
      </c>
      <c r="BE114" s="139">
        <f t="shared" si="287"/>
        <v>51.81</v>
      </c>
      <c r="BF114" s="139">
        <f t="shared" si="276"/>
        <v>19.25</v>
      </c>
      <c r="BG114" s="139">
        <f t="shared" si="288"/>
        <v>13.86</v>
      </c>
      <c r="BH114" s="139">
        <f t="shared" si="278"/>
        <v>37.125</v>
      </c>
      <c r="BI114" s="139">
        <f t="shared" si="279"/>
        <v>26.729999999999997</v>
      </c>
      <c r="BJ114" s="139">
        <f t="shared" si="280"/>
        <v>37.125</v>
      </c>
      <c r="BK114" s="139">
        <f t="shared" si="289"/>
        <v>26.729999999999997</v>
      </c>
    </row>
    <row r="115" spans="1:63" ht="15" thickBot="1">
      <c r="A115" s="127" t="s">
        <v>61</v>
      </c>
      <c r="B115" s="118">
        <v>31</v>
      </c>
      <c r="C115" s="118">
        <f t="shared" si="261"/>
        <v>744</v>
      </c>
      <c r="D115" s="122">
        <f t="shared" si="248"/>
        <v>30.913978494623656</v>
      </c>
      <c r="E115" s="118">
        <v>23</v>
      </c>
      <c r="H115" s="123"/>
      <c r="J115" s="124">
        <v>1.76</v>
      </c>
      <c r="K115" s="125">
        <f t="shared" si="249"/>
        <v>54.408602150537632</v>
      </c>
      <c r="L115" s="125">
        <f t="shared" si="262"/>
        <v>40.479999999999997</v>
      </c>
      <c r="M115" s="124">
        <v>0.48</v>
      </c>
      <c r="N115" s="125">
        <f t="shared" si="250"/>
        <v>14.838709677419354</v>
      </c>
      <c r="O115" s="125">
        <f t="shared" si="263"/>
        <v>11.04</v>
      </c>
      <c r="P115" s="124">
        <v>0.99</v>
      </c>
      <c r="Q115" s="125">
        <f t="shared" si="251"/>
        <v>30.60483870967742</v>
      </c>
      <c r="R115" s="125">
        <f t="shared" si="264"/>
        <v>22.77</v>
      </c>
      <c r="S115" s="124">
        <v>0.99</v>
      </c>
      <c r="T115" s="125">
        <f t="shared" si="252"/>
        <v>30.60483870967742</v>
      </c>
      <c r="U115" s="125">
        <f t="shared" si="265"/>
        <v>22.77</v>
      </c>
      <c r="X115" s="123"/>
      <c r="Y115" s="123"/>
      <c r="Z115" s="124">
        <v>2.15</v>
      </c>
      <c r="AA115" s="125">
        <f t="shared" si="282"/>
        <v>66.465053763440864</v>
      </c>
      <c r="AB115" s="125">
        <f t="shared" si="253"/>
        <v>49.449999999999996</v>
      </c>
      <c r="AC115" s="124">
        <v>0.46</v>
      </c>
      <c r="AD115" s="125">
        <f t="shared" si="283"/>
        <v>14.220430107526882</v>
      </c>
      <c r="AE115" s="125">
        <f t="shared" si="254"/>
        <v>10.58</v>
      </c>
      <c r="AF115" s="124">
        <v>0.9</v>
      </c>
      <c r="AG115" s="125">
        <f t="shared" si="284"/>
        <v>27.822580645161292</v>
      </c>
      <c r="AH115" s="125">
        <f t="shared" si="255"/>
        <v>20.7</v>
      </c>
      <c r="AI115" s="124">
        <v>0.9</v>
      </c>
      <c r="AJ115" s="125">
        <f t="shared" si="285"/>
        <v>27.822580645161292</v>
      </c>
      <c r="AK115" s="125">
        <f t="shared" si="256"/>
        <v>20.7</v>
      </c>
      <c r="AL115" s="162"/>
      <c r="AN115" s="123"/>
      <c r="AO115" s="123"/>
      <c r="AP115" s="124">
        <v>2.19</v>
      </c>
      <c r="AQ115" s="125">
        <f t="shared" si="270"/>
        <v>67.701612903225808</v>
      </c>
      <c r="AR115" s="125">
        <f t="shared" si="257"/>
        <v>50.37</v>
      </c>
      <c r="AS115" s="124">
        <v>0.46</v>
      </c>
      <c r="AT115" s="125">
        <f t="shared" si="271"/>
        <v>14.220430107526882</v>
      </c>
      <c r="AU115" s="125">
        <f t="shared" si="258"/>
        <v>10.58</v>
      </c>
      <c r="AV115" s="124">
        <v>0.77</v>
      </c>
      <c r="AW115" s="125">
        <f t="shared" si="272"/>
        <v>23.803763440860216</v>
      </c>
      <c r="AX115" s="125">
        <f t="shared" si="259"/>
        <v>17.71</v>
      </c>
      <c r="AY115" s="124">
        <v>0.77</v>
      </c>
      <c r="AZ115" s="125">
        <f t="shared" si="273"/>
        <v>23.803763440860216</v>
      </c>
      <c r="BA115" s="125">
        <f t="shared" si="260"/>
        <v>17.71</v>
      </c>
      <c r="BD115" s="139">
        <f t="shared" si="274"/>
        <v>61.05510752688172</v>
      </c>
      <c r="BE115" s="139">
        <f t="shared" si="287"/>
        <v>45.424999999999997</v>
      </c>
      <c r="BF115" s="139">
        <f t="shared" si="276"/>
        <v>14.529569892473118</v>
      </c>
      <c r="BG115" s="139">
        <f t="shared" si="288"/>
        <v>10.809999999999999</v>
      </c>
      <c r="BH115" s="139">
        <f t="shared" si="278"/>
        <v>27.204301075268816</v>
      </c>
      <c r="BI115" s="139">
        <f t="shared" si="279"/>
        <v>20.240000000000002</v>
      </c>
      <c r="BJ115" s="139">
        <f t="shared" si="280"/>
        <v>27.204301075268816</v>
      </c>
      <c r="BK115" s="139">
        <f t="shared" si="289"/>
        <v>20.240000000000002</v>
      </c>
    </row>
    <row r="118" spans="1:63">
      <c r="A118" s="128" t="s">
        <v>201</v>
      </c>
      <c r="B118" s="120" t="s">
        <v>172</v>
      </c>
      <c r="C118" s="120" t="s">
        <v>173</v>
      </c>
      <c r="E118" s="120" t="s">
        <v>174</v>
      </c>
      <c r="F118" s="120"/>
      <c r="G118" s="120"/>
      <c r="J118" s="305" t="s">
        <v>177</v>
      </c>
      <c r="K118" s="306"/>
      <c r="L118" s="307"/>
      <c r="M118" s="305" t="s">
        <v>178</v>
      </c>
      <c r="N118" s="306"/>
      <c r="O118" s="307"/>
      <c r="P118" s="305" t="s">
        <v>179</v>
      </c>
      <c r="Q118" s="306"/>
      <c r="R118" s="306"/>
      <c r="S118" s="308" t="s">
        <v>180</v>
      </c>
      <c r="T118" s="308"/>
      <c r="U118" s="308"/>
      <c r="Z118" s="305" t="s">
        <v>177</v>
      </c>
      <c r="AA118" s="306"/>
      <c r="AB118" s="307"/>
      <c r="AC118" s="305" t="s">
        <v>178</v>
      </c>
      <c r="AD118" s="306"/>
      <c r="AE118" s="307"/>
      <c r="AF118" s="305" t="s">
        <v>179</v>
      </c>
      <c r="AG118" s="306"/>
      <c r="AH118" s="306"/>
      <c r="AI118" s="308" t="s">
        <v>180</v>
      </c>
      <c r="AJ118" s="308"/>
      <c r="AK118" s="308"/>
      <c r="AL118" s="128"/>
      <c r="AP118" s="305" t="s">
        <v>177</v>
      </c>
      <c r="AQ118" s="306"/>
      <c r="AR118" s="307"/>
      <c r="AS118" s="305" t="s">
        <v>178</v>
      </c>
      <c r="AT118" s="306"/>
      <c r="AU118" s="307"/>
      <c r="AV118" s="305" t="s">
        <v>179</v>
      </c>
      <c r="AW118" s="306"/>
      <c r="AX118" s="306"/>
      <c r="AY118" s="308" t="s">
        <v>180</v>
      </c>
      <c r="AZ118" s="308"/>
      <c r="BA118" s="308"/>
      <c r="BD118" s="310" t="s">
        <v>177</v>
      </c>
      <c r="BE118" s="311"/>
      <c r="BF118" s="310" t="s">
        <v>178</v>
      </c>
      <c r="BG118" s="311"/>
      <c r="BH118" s="310" t="s">
        <v>181</v>
      </c>
      <c r="BI118" s="311"/>
      <c r="BJ118" s="308" t="s">
        <v>180</v>
      </c>
      <c r="BK118" s="308"/>
    </row>
    <row r="119" spans="1:63" ht="13.8" thickBot="1">
      <c r="D119" s="118" t="s">
        <v>176</v>
      </c>
      <c r="E119" s="118" t="s">
        <v>175</v>
      </c>
      <c r="J119" s="117" t="s">
        <v>205</v>
      </c>
      <c r="K119" s="117" t="s">
        <v>176</v>
      </c>
      <c r="L119" s="117" t="s">
        <v>175</v>
      </c>
      <c r="M119" s="117" t="s">
        <v>205</v>
      </c>
      <c r="N119" s="117" t="s">
        <v>176</v>
      </c>
      <c r="O119" s="117" t="s">
        <v>175</v>
      </c>
      <c r="P119" s="117" t="s">
        <v>205</v>
      </c>
      <c r="Q119" s="117" t="s">
        <v>176</v>
      </c>
      <c r="R119" s="117" t="s">
        <v>175</v>
      </c>
      <c r="S119" s="137" t="s">
        <v>205</v>
      </c>
      <c r="T119" s="137" t="s">
        <v>176</v>
      </c>
      <c r="U119" s="137" t="s">
        <v>175</v>
      </c>
      <c r="Z119" s="117" t="s">
        <v>205</v>
      </c>
      <c r="AA119" s="117" t="s">
        <v>176</v>
      </c>
      <c r="AB119" s="117" t="s">
        <v>175</v>
      </c>
      <c r="AC119" s="117" t="s">
        <v>205</v>
      </c>
      <c r="AD119" s="117" t="s">
        <v>176</v>
      </c>
      <c r="AE119" s="117" t="s">
        <v>175</v>
      </c>
      <c r="AF119" s="117" t="s">
        <v>205</v>
      </c>
      <c r="AG119" s="117" t="s">
        <v>176</v>
      </c>
      <c r="AH119" s="117" t="s">
        <v>175</v>
      </c>
      <c r="AI119" s="137" t="s">
        <v>205</v>
      </c>
      <c r="AJ119" s="137" t="s">
        <v>176</v>
      </c>
      <c r="AK119" s="137" t="s">
        <v>175</v>
      </c>
      <c r="AP119" s="117" t="s">
        <v>205</v>
      </c>
      <c r="AQ119" s="117" t="s">
        <v>176</v>
      </c>
      <c r="AR119" s="117" t="s">
        <v>175</v>
      </c>
      <c r="AS119" s="117" t="s">
        <v>205</v>
      </c>
      <c r="AT119" s="117" t="s">
        <v>176</v>
      </c>
      <c r="AU119" s="117" t="s">
        <v>175</v>
      </c>
      <c r="AV119" s="117" t="s">
        <v>205</v>
      </c>
      <c r="AW119" s="117" t="s">
        <v>176</v>
      </c>
      <c r="AX119" s="117" t="s">
        <v>175</v>
      </c>
      <c r="AY119" s="137" t="s">
        <v>205</v>
      </c>
      <c r="AZ119" s="137" t="s">
        <v>176</v>
      </c>
      <c r="BA119" s="137" t="s">
        <v>175</v>
      </c>
      <c r="BD119" s="137" t="s">
        <v>176</v>
      </c>
      <c r="BE119" s="137" t="s">
        <v>175</v>
      </c>
      <c r="BF119" s="137" t="s">
        <v>176</v>
      </c>
      <c r="BG119" s="137" t="s">
        <v>175</v>
      </c>
      <c r="BH119" s="137" t="s">
        <v>176</v>
      </c>
      <c r="BI119" s="137" t="s">
        <v>175</v>
      </c>
      <c r="BJ119" s="137" t="s">
        <v>176</v>
      </c>
      <c r="BK119" s="137" t="s">
        <v>175</v>
      </c>
    </row>
    <row r="120" spans="1:63" ht="14.4">
      <c r="A120" s="121" t="s">
        <v>55</v>
      </c>
      <c r="B120" s="118">
        <v>31</v>
      </c>
      <c r="C120" s="118">
        <f>B120*24</f>
        <v>744</v>
      </c>
      <c r="D120" s="122">
        <f t="shared" ref="D120:D131" si="290">E120*1000/C120</f>
        <v>33.602150537634408</v>
      </c>
      <c r="E120" s="118">
        <v>25</v>
      </c>
      <c r="H120" s="123"/>
      <c r="J120" s="124">
        <v>1.61</v>
      </c>
      <c r="K120" s="125">
        <f t="shared" ref="K120:K131" si="291">J120*D120</f>
        <v>54.0994623655914</v>
      </c>
      <c r="L120" s="125">
        <f>$E120*J120</f>
        <v>40.25</v>
      </c>
      <c r="M120" s="124">
        <v>0.52</v>
      </c>
      <c r="N120" s="125">
        <f t="shared" ref="N120:N131" si="292">M120*D120</f>
        <v>17.473118279569892</v>
      </c>
      <c r="O120" s="125">
        <f>$E120*M120</f>
        <v>13</v>
      </c>
      <c r="P120" s="124">
        <v>1</v>
      </c>
      <c r="Q120" s="125">
        <f t="shared" ref="Q120:Q131" si="293">P120*D120</f>
        <v>33.602150537634408</v>
      </c>
      <c r="R120" s="125">
        <f>$E120*P120</f>
        <v>25</v>
      </c>
      <c r="S120" s="124">
        <v>1</v>
      </c>
      <c r="T120" s="125">
        <f t="shared" ref="T120:T131" si="294">S120*D120</f>
        <v>33.602150537634408</v>
      </c>
      <c r="U120" s="125">
        <f>$E120*S120</f>
        <v>25</v>
      </c>
      <c r="X120" s="123"/>
      <c r="Y120" s="123"/>
      <c r="Z120" s="124">
        <v>1.94</v>
      </c>
      <c r="AA120" s="125">
        <f>Z120*$D120</f>
        <v>65.188172043010752</v>
      </c>
      <c r="AB120" s="125">
        <f t="shared" ref="AB120:AB131" si="295">$E120*Z120</f>
        <v>48.5</v>
      </c>
      <c r="AC120" s="124">
        <v>0.51</v>
      </c>
      <c r="AD120" s="125">
        <f>AC120*$D120</f>
        <v>17.137096774193548</v>
      </c>
      <c r="AE120" s="125">
        <f t="shared" ref="AE120:AE131" si="296">$E120*AC120</f>
        <v>12.75</v>
      </c>
      <c r="AF120" s="124">
        <v>0.95</v>
      </c>
      <c r="AG120" s="125">
        <f>AF120*$D120</f>
        <v>31.922043010752684</v>
      </c>
      <c r="AH120" s="125">
        <f t="shared" ref="AH120:AH131" si="297">$E120*AF120</f>
        <v>23.75</v>
      </c>
      <c r="AI120" s="124">
        <v>0.95</v>
      </c>
      <c r="AJ120" s="125">
        <f>AI120*$D120</f>
        <v>31.922043010752684</v>
      </c>
      <c r="AK120" s="125">
        <f t="shared" ref="AK120:AK131" si="298">$E120*AI120</f>
        <v>23.75</v>
      </c>
      <c r="AL120" s="162"/>
      <c r="AN120" s="123"/>
      <c r="AO120" s="123"/>
      <c r="AP120" s="124">
        <v>1.92</v>
      </c>
      <c r="AQ120" s="125">
        <f>AP120*$D120</f>
        <v>64.516129032258064</v>
      </c>
      <c r="AR120" s="125">
        <f t="shared" ref="AR120:AR131" si="299">$E120*AP120</f>
        <v>48</v>
      </c>
      <c r="AS120" s="124">
        <v>0.55000000000000004</v>
      </c>
      <c r="AT120" s="125">
        <f>AS120*$D120</f>
        <v>18.481182795698928</v>
      </c>
      <c r="AU120" s="125">
        <f t="shared" ref="AU120:AU131" si="300">$E120*AS120</f>
        <v>13.750000000000002</v>
      </c>
      <c r="AV120" s="124">
        <v>0.85</v>
      </c>
      <c r="AW120" s="125">
        <f>AV120*$D120</f>
        <v>28.561827956989244</v>
      </c>
      <c r="AX120" s="125">
        <f t="shared" ref="AX120:AX131" si="301">$E120*AV120</f>
        <v>21.25</v>
      </c>
      <c r="AY120" s="124">
        <v>0.85</v>
      </c>
      <c r="AZ120" s="125">
        <f>AY120*$D120</f>
        <v>28.561827956989244</v>
      </c>
      <c r="BA120" s="125">
        <f t="shared" ref="BA120:BA131" si="302">$E120*AY120</f>
        <v>21.25</v>
      </c>
      <c r="BD120" s="139">
        <f>(K120+AQ120)/2</f>
        <v>59.307795698924735</v>
      </c>
      <c r="BE120" s="139">
        <f>(L120+AR120)/2</f>
        <v>44.125</v>
      </c>
      <c r="BF120" s="139">
        <f>(N120+AT120)/2</f>
        <v>17.977150537634408</v>
      </c>
      <c r="BG120" s="139">
        <f>(O120+AU120)/2</f>
        <v>13.375</v>
      </c>
      <c r="BH120" s="139">
        <f>(Q120+AW120)/2</f>
        <v>31.081989247311824</v>
      </c>
      <c r="BI120" s="139">
        <f>(R120+AX120)/2</f>
        <v>23.125</v>
      </c>
      <c r="BJ120" s="139">
        <f>(T120+AZ120)/2</f>
        <v>31.081989247311824</v>
      </c>
      <c r="BK120" s="139">
        <f>(U120+BA120)/2</f>
        <v>23.125</v>
      </c>
    </row>
    <row r="121" spans="1:63" ht="14.4">
      <c r="A121" s="126" t="s">
        <v>56</v>
      </c>
      <c r="B121" s="118">
        <v>28</v>
      </c>
      <c r="C121" s="118">
        <f t="shared" ref="C121:C131" si="303">B121*24</f>
        <v>672</v>
      </c>
      <c r="D121" s="122">
        <f t="shared" si="290"/>
        <v>68.452380952380949</v>
      </c>
      <c r="E121" s="118">
        <v>46</v>
      </c>
      <c r="H121" s="123"/>
      <c r="J121" s="124">
        <v>1.45</v>
      </c>
      <c r="K121" s="125">
        <f t="shared" si="291"/>
        <v>99.25595238095238</v>
      </c>
      <c r="L121" s="125">
        <f t="shared" ref="L121:L131" si="304">$E121*J121</f>
        <v>66.7</v>
      </c>
      <c r="M121" s="124">
        <v>0.45</v>
      </c>
      <c r="N121" s="125">
        <f t="shared" si="292"/>
        <v>30.803571428571427</v>
      </c>
      <c r="O121" s="125">
        <f t="shared" ref="O121:O131" si="305">$E121*M121</f>
        <v>20.7</v>
      </c>
      <c r="P121" s="124">
        <v>0.98</v>
      </c>
      <c r="Q121" s="125">
        <f t="shared" si="293"/>
        <v>67.083333333333329</v>
      </c>
      <c r="R121" s="125">
        <f t="shared" ref="R121:R131" si="306">$E121*P121</f>
        <v>45.08</v>
      </c>
      <c r="S121" s="124">
        <v>0.98</v>
      </c>
      <c r="T121" s="125">
        <f t="shared" si="294"/>
        <v>67.083333333333329</v>
      </c>
      <c r="U121" s="125">
        <f t="shared" ref="U121:U131" si="307">$E121*S121</f>
        <v>45.08</v>
      </c>
      <c r="X121" s="123"/>
      <c r="Y121" s="123"/>
      <c r="Z121" s="124">
        <v>1.64</v>
      </c>
      <c r="AA121" s="125">
        <f t="shared" ref="AA121:AA122" si="308">Z121*$D121</f>
        <v>112.26190476190474</v>
      </c>
      <c r="AB121" s="125">
        <f t="shared" si="295"/>
        <v>75.44</v>
      </c>
      <c r="AC121" s="124">
        <v>0.44</v>
      </c>
      <c r="AD121" s="125">
        <f t="shared" ref="AD121:AD122" si="309">AC121*$D121</f>
        <v>30.119047619047617</v>
      </c>
      <c r="AE121" s="125">
        <f t="shared" si="296"/>
        <v>20.239999999999998</v>
      </c>
      <c r="AF121" s="124">
        <v>0.92</v>
      </c>
      <c r="AG121" s="125">
        <f t="shared" ref="AG121:AG122" si="310">AF121*$D121</f>
        <v>62.976190476190474</v>
      </c>
      <c r="AH121" s="125">
        <f t="shared" si="297"/>
        <v>42.32</v>
      </c>
      <c r="AI121" s="124">
        <v>0.92</v>
      </c>
      <c r="AJ121" s="125">
        <f t="shared" ref="AJ121:AJ122" si="311">AI121*$D121</f>
        <v>62.976190476190474</v>
      </c>
      <c r="AK121" s="125">
        <f t="shared" si="298"/>
        <v>42.32</v>
      </c>
      <c r="AL121" s="162"/>
      <c r="AN121" s="123"/>
      <c r="AO121" s="123"/>
      <c r="AP121" s="124">
        <v>1.54</v>
      </c>
      <c r="AQ121" s="125">
        <f t="shared" ref="AQ121:AQ131" si="312">AP121*$D121</f>
        <v>105.41666666666666</v>
      </c>
      <c r="AR121" s="125">
        <f t="shared" si="299"/>
        <v>70.84</v>
      </c>
      <c r="AS121" s="124">
        <v>0.47</v>
      </c>
      <c r="AT121" s="125">
        <f t="shared" ref="AT121:AT131" si="313">AS121*$D121</f>
        <v>32.172619047619044</v>
      </c>
      <c r="AU121" s="125">
        <f t="shared" si="300"/>
        <v>21.619999999999997</v>
      </c>
      <c r="AV121" s="124">
        <v>0.8</v>
      </c>
      <c r="AW121" s="125">
        <f t="shared" ref="AW121:AW131" si="314">AV121*$D121</f>
        <v>54.761904761904759</v>
      </c>
      <c r="AX121" s="125">
        <f t="shared" si="301"/>
        <v>36.800000000000004</v>
      </c>
      <c r="AY121" s="124">
        <v>0.8</v>
      </c>
      <c r="AZ121" s="125">
        <f t="shared" ref="AZ121:AZ131" si="315">AY121*$D121</f>
        <v>54.761904761904759</v>
      </c>
      <c r="BA121" s="125">
        <f t="shared" si="302"/>
        <v>36.800000000000004</v>
      </c>
      <c r="BD121" s="139">
        <f t="shared" ref="BD121:BD131" si="316">(K121+AQ121)/2</f>
        <v>102.33630952380952</v>
      </c>
      <c r="BE121" s="139">
        <f t="shared" ref="BE121:BE126" si="317">(L121+AR121)/2</f>
        <v>68.77000000000001</v>
      </c>
      <c r="BF121" s="139">
        <f t="shared" ref="BF121:BF131" si="318">(N121+AT121)/2</f>
        <v>31.488095238095234</v>
      </c>
      <c r="BG121" s="139">
        <f t="shared" ref="BG121:BG126" si="319">(O121+AU121)/2</f>
        <v>21.159999999999997</v>
      </c>
      <c r="BH121" s="139">
        <f t="shared" ref="BH121:BH131" si="320">(Q121+AW121)/2</f>
        <v>60.922619047619044</v>
      </c>
      <c r="BI121" s="139">
        <f t="shared" ref="BI121:BI131" si="321">(R121+AX121)/2</f>
        <v>40.94</v>
      </c>
      <c r="BJ121" s="139">
        <f t="shared" ref="BJ121:BJ131" si="322">(T121+AZ121)/2</f>
        <v>60.922619047619044</v>
      </c>
      <c r="BK121" s="139">
        <f t="shared" ref="BK121:BK124" si="323">(U121+BA121)/2</f>
        <v>40.94</v>
      </c>
    </row>
    <row r="122" spans="1:63" ht="14.4">
      <c r="A122" s="126" t="s">
        <v>57</v>
      </c>
      <c r="B122" s="118">
        <v>31</v>
      </c>
      <c r="C122" s="118">
        <f t="shared" si="303"/>
        <v>744</v>
      </c>
      <c r="D122" s="122">
        <f t="shared" si="290"/>
        <v>115.59139784946237</v>
      </c>
      <c r="E122" s="118">
        <v>86</v>
      </c>
      <c r="H122" s="123"/>
      <c r="J122" s="124">
        <v>1.25</v>
      </c>
      <c r="K122" s="125">
        <f t="shared" si="291"/>
        <v>144.48924731182797</v>
      </c>
      <c r="L122" s="125">
        <f t="shared" si="304"/>
        <v>107.5</v>
      </c>
      <c r="M122" s="124">
        <v>0.52</v>
      </c>
      <c r="N122" s="125">
        <f t="shared" si="292"/>
        <v>60.107526881720432</v>
      </c>
      <c r="O122" s="125">
        <f t="shared" si="305"/>
        <v>44.72</v>
      </c>
      <c r="P122" s="124">
        <v>0.96</v>
      </c>
      <c r="Q122" s="125">
        <f t="shared" si="293"/>
        <v>110.96774193548387</v>
      </c>
      <c r="R122" s="125">
        <f t="shared" si="306"/>
        <v>82.56</v>
      </c>
      <c r="S122" s="124">
        <v>0.96</v>
      </c>
      <c r="T122" s="125">
        <f t="shared" si="294"/>
        <v>110.96774193548387</v>
      </c>
      <c r="U122" s="125">
        <f t="shared" si="307"/>
        <v>82.56</v>
      </c>
      <c r="X122" s="123"/>
      <c r="Y122" s="123"/>
      <c r="Z122" s="124">
        <v>1.28</v>
      </c>
      <c r="AA122" s="125">
        <f t="shared" si="308"/>
        <v>147.95698924731184</v>
      </c>
      <c r="AB122" s="125">
        <f t="shared" si="295"/>
        <v>110.08</v>
      </c>
      <c r="AC122" s="124">
        <v>0.35</v>
      </c>
      <c r="AD122" s="125">
        <f t="shared" si="309"/>
        <v>40.456989247311824</v>
      </c>
      <c r="AE122" s="125">
        <f t="shared" si="296"/>
        <v>30.099999999999998</v>
      </c>
      <c r="AF122" s="124">
        <v>0.85</v>
      </c>
      <c r="AG122" s="125">
        <f t="shared" si="310"/>
        <v>98.252688172043008</v>
      </c>
      <c r="AH122" s="125">
        <f t="shared" si="297"/>
        <v>73.099999999999994</v>
      </c>
      <c r="AI122" s="124">
        <v>0.85</v>
      </c>
      <c r="AJ122" s="125">
        <f t="shared" si="311"/>
        <v>98.252688172043008</v>
      </c>
      <c r="AK122" s="125">
        <f t="shared" si="298"/>
        <v>73.099999999999994</v>
      </c>
      <c r="AL122" s="162"/>
      <c r="AN122" s="123"/>
      <c r="AO122" s="123"/>
      <c r="AP122" s="124">
        <v>1.06</v>
      </c>
      <c r="AQ122" s="125">
        <f t="shared" si="312"/>
        <v>122.52688172043011</v>
      </c>
      <c r="AR122" s="125">
        <f t="shared" si="299"/>
        <v>91.160000000000011</v>
      </c>
      <c r="AS122" s="124">
        <v>0.34</v>
      </c>
      <c r="AT122" s="125">
        <f t="shared" si="313"/>
        <v>39.301075268817208</v>
      </c>
      <c r="AU122" s="125">
        <f t="shared" si="300"/>
        <v>29.240000000000002</v>
      </c>
      <c r="AV122" s="124">
        <v>0.67</v>
      </c>
      <c r="AW122" s="125">
        <f t="shared" si="314"/>
        <v>77.446236559139791</v>
      </c>
      <c r="AX122" s="125">
        <f t="shared" si="301"/>
        <v>57.620000000000005</v>
      </c>
      <c r="AY122" s="124">
        <v>0.67</v>
      </c>
      <c r="AZ122" s="125">
        <f t="shared" si="315"/>
        <v>77.446236559139791</v>
      </c>
      <c r="BA122" s="125">
        <f t="shared" si="302"/>
        <v>57.620000000000005</v>
      </c>
      <c r="BD122" s="139">
        <f t="shared" si="316"/>
        <v>133.50806451612902</v>
      </c>
      <c r="BE122" s="139">
        <f t="shared" si="317"/>
        <v>99.330000000000013</v>
      </c>
      <c r="BF122" s="139">
        <f t="shared" si="318"/>
        <v>49.704301075268816</v>
      </c>
      <c r="BG122" s="139">
        <f t="shared" si="319"/>
        <v>36.980000000000004</v>
      </c>
      <c r="BH122" s="139">
        <f t="shared" si="320"/>
        <v>94.206989247311839</v>
      </c>
      <c r="BI122" s="139">
        <f t="shared" si="321"/>
        <v>70.09</v>
      </c>
      <c r="BJ122" s="139">
        <f t="shared" si="322"/>
        <v>94.206989247311839</v>
      </c>
      <c r="BK122" s="139">
        <f t="shared" si="323"/>
        <v>70.09</v>
      </c>
    </row>
    <row r="123" spans="1:63" ht="14.4">
      <c r="A123" s="126" t="s">
        <v>58</v>
      </c>
      <c r="B123" s="118">
        <v>30</v>
      </c>
      <c r="C123" s="118">
        <f t="shared" si="303"/>
        <v>720</v>
      </c>
      <c r="D123" s="122">
        <f t="shared" si="290"/>
        <v>180.55555555555554</v>
      </c>
      <c r="E123" s="118">
        <v>130</v>
      </c>
      <c r="H123" s="123"/>
      <c r="J123" s="124">
        <v>1.0900000000000001</v>
      </c>
      <c r="K123" s="125">
        <f t="shared" si="291"/>
        <v>196.80555555555554</v>
      </c>
      <c r="L123" s="125">
        <f t="shared" si="304"/>
        <v>141.70000000000002</v>
      </c>
      <c r="M123" s="124">
        <v>0.68</v>
      </c>
      <c r="N123" s="125">
        <f t="shared" si="292"/>
        <v>122.77777777777777</v>
      </c>
      <c r="O123" s="125">
        <f t="shared" si="305"/>
        <v>88.4</v>
      </c>
      <c r="P123" s="124">
        <v>0.94</v>
      </c>
      <c r="Q123" s="125">
        <f t="shared" si="293"/>
        <v>169.7222222222222</v>
      </c>
      <c r="R123" s="125">
        <f t="shared" si="306"/>
        <v>122.19999999999999</v>
      </c>
      <c r="S123" s="124">
        <v>0.94</v>
      </c>
      <c r="T123" s="125">
        <f t="shared" si="294"/>
        <v>169.7222222222222</v>
      </c>
      <c r="U123" s="125">
        <f t="shared" si="307"/>
        <v>122.19999999999999</v>
      </c>
      <c r="X123" s="123"/>
      <c r="Y123" s="123"/>
      <c r="Z123" s="124">
        <v>0.99</v>
      </c>
      <c r="AA123" s="125">
        <f>Z123*$D123</f>
        <v>178.75</v>
      </c>
      <c r="AB123" s="125">
        <f t="shared" si="295"/>
        <v>128.69999999999999</v>
      </c>
      <c r="AC123" s="124">
        <v>0.34</v>
      </c>
      <c r="AD123" s="125">
        <f>AC123*$D123</f>
        <v>61.388888888888886</v>
      </c>
      <c r="AE123" s="125">
        <f t="shared" si="296"/>
        <v>44.2</v>
      </c>
      <c r="AF123" s="124">
        <v>0.81</v>
      </c>
      <c r="AG123" s="125">
        <f>AF123*$D123</f>
        <v>146.25</v>
      </c>
      <c r="AH123" s="125">
        <f t="shared" si="297"/>
        <v>105.30000000000001</v>
      </c>
      <c r="AI123" s="124">
        <v>0.81</v>
      </c>
      <c r="AJ123" s="125">
        <f>AI123*$D123</f>
        <v>146.25</v>
      </c>
      <c r="AK123" s="125">
        <f t="shared" si="298"/>
        <v>105.30000000000001</v>
      </c>
      <c r="AL123" s="162"/>
      <c r="AN123" s="123"/>
      <c r="AO123" s="123"/>
      <c r="AP123" s="124">
        <v>0.72</v>
      </c>
      <c r="AQ123" s="125">
        <f>AP123*$D123</f>
        <v>130</v>
      </c>
      <c r="AR123" s="125">
        <f t="shared" si="299"/>
        <v>93.6</v>
      </c>
      <c r="AS123" s="124">
        <v>0.3</v>
      </c>
      <c r="AT123" s="125">
        <f>AS123*$D123</f>
        <v>54.166666666666664</v>
      </c>
      <c r="AU123" s="125">
        <f t="shared" si="300"/>
        <v>39</v>
      </c>
      <c r="AV123" s="124">
        <v>0.59</v>
      </c>
      <c r="AW123" s="125">
        <f>AV123*$D123</f>
        <v>106.52777777777777</v>
      </c>
      <c r="AX123" s="125">
        <f t="shared" si="301"/>
        <v>76.7</v>
      </c>
      <c r="AY123" s="124">
        <v>0.59</v>
      </c>
      <c r="AZ123" s="125">
        <f>AY123*$D123</f>
        <v>106.52777777777777</v>
      </c>
      <c r="BA123" s="125">
        <f t="shared" si="302"/>
        <v>76.7</v>
      </c>
      <c r="BC123" s="117" t="s">
        <v>190</v>
      </c>
      <c r="BD123" s="139">
        <f t="shared" si="316"/>
        <v>163.40277777777777</v>
      </c>
      <c r="BE123" s="139">
        <f t="shared" si="317"/>
        <v>117.65</v>
      </c>
      <c r="BF123" s="139">
        <f t="shared" si="318"/>
        <v>88.472222222222214</v>
      </c>
      <c r="BG123" s="139">
        <f t="shared" si="319"/>
        <v>63.7</v>
      </c>
      <c r="BH123" s="139">
        <f t="shared" si="320"/>
        <v>138.125</v>
      </c>
      <c r="BI123" s="139">
        <f t="shared" si="321"/>
        <v>99.449999999999989</v>
      </c>
      <c r="BJ123" s="139">
        <f t="shared" si="322"/>
        <v>138.125</v>
      </c>
      <c r="BK123" s="139">
        <f t="shared" si="323"/>
        <v>99.449999999999989</v>
      </c>
    </row>
    <row r="124" spans="1:63" ht="14.4">
      <c r="A124" s="126" t="s">
        <v>183</v>
      </c>
      <c r="B124" s="118">
        <v>31</v>
      </c>
      <c r="C124" s="118">
        <f t="shared" si="303"/>
        <v>744</v>
      </c>
      <c r="D124" s="122">
        <f t="shared" si="290"/>
        <v>212.36559139784947</v>
      </c>
      <c r="E124" s="118">
        <v>158</v>
      </c>
      <c r="H124" s="123"/>
      <c r="I124" s="117" t="s">
        <v>190</v>
      </c>
      <c r="J124" s="124">
        <v>1.01</v>
      </c>
      <c r="K124" s="125">
        <f t="shared" si="291"/>
        <v>214.48924731182797</v>
      </c>
      <c r="L124" s="125">
        <f t="shared" si="304"/>
        <v>159.58000000000001</v>
      </c>
      <c r="M124" s="124">
        <v>0.79</v>
      </c>
      <c r="N124" s="125">
        <f t="shared" si="292"/>
        <v>167.76881720430109</v>
      </c>
      <c r="O124" s="125">
        <f t="shared" si="305"/>
        <v>124.82000000000001</v>
      </c>
      <c r="P124" s="124">
        <v>0.94</v>
      </c>
      <c r="Q124" s="125">
        <f t="shared" si="293"/>
        <v>199.6236559139785</v>
      </c>
      <c r="R124" s="125">
        <f t="shared" si="306"/>
        <v>148.51999999999998</v>
      </c>
      <c r="S124" s="124">
        <v>0.94</v>
      </c>
      <c r="T124" s="125">
        <f t="shared" si="294"/>
        <v>199.6236559139785</v>
      </c>
      <c r="U124" s="125">
        <f t="shared" si="307"/>
        <v>148.51999999999998</v>
      </c>
      <c r="W124" s="117" t="s">
        <v>190</v>
      </c>
      <c r="X124" s="123"/>
      <c r="Y124" s="123"/>
      <c r="Z124" s="124">
        <v>0.84</v>
      </c>
      <c r="AA124" s="125">
        <f t="shared" ref="AA124:AA131" si="324">Z124*$D124</f>
        <v>178.38709677419354</v>
      </c>
      <c r="AB124" s="125">
        <f t="shared" si="295"/>
        <v>132.72</v>
      </c>
      <c r="AC124" s="124">
        <v>0.4</v>
      </c>
      <c r="AD124" s="125">
        <f t="shared" ref="AD124:AD131" si="325">AC124*$D124</f>
        <v>84.946236559139791</v>
      </c>
      <c r="AE124" s="125">
        <f t="shared" si="296"/>
        <v>63.2</v>
      </c>
      <c r="AF124" s="124">
        <v>0.79</v>
      </c>
      <c r="AG124" s="125">
        <f t="shared" ref="AG124:AG131" si="326">AF124*$D124</f>
        <v>167.76881720430109</v>
      </c>
      <c r="AH124" s="125">
        <f t="shared" si="297"/>
        <v>124.82000000000001</v>
      </c>
      <c r="AI124" s="124">
        <v>0.79</v>
      </c>
      <c r="AJ124" s="125">
        <f t="shared" ref="AJ124:AJ131" si="327">AI124*$D124</f>
        <v>167.76881720430109</v>
      </c>
      <c r="AK124" s="125">
        <f t="shared" si="298"/>
        <v>124.82000000000001</v>
      </c>
      <c r="AL124" s="162"/>
      <c r="AM124" s="117" t="s">
        <v>190</v>
      </c>
      <c r="AN124" s="123"/>
      <c r="AO124" s="123"/>
      <c r="AP124" s="124">
        <v>0.55000000000000004</v>
      </c>
      <c r="AQ124" s="125">
        <f t="shared" si="312"/>
        <v>116.80107526881721</v>
      </c>
      <c r="AR124" s="125">
        <f t="shared" si="299"/>
        <v>86.9</v>
      </c>
      <c r="AS124" s="124">
        <v>0.3</v>
      </c>
      <c r="AT124" s="125">
        <f t="shared" si="313"/>
        <v>63.70967741935484</v>
      </c>
      <c r="AU124" s="125">
        <f t="shared" si="300"/>
        <v>47.4</v>
      </c>
      <c r="AV124" s="124">
        <v>0.56000000000000005</v>
      </c>
      <c r="AW124" s="125">
        <f t="shared" si="314"/>
        <v>118.92473118279571</v>
      </c>
      <c r="AX124" s="125">
        <f t="shared" si="301"/>
        <v>88.48</v>
      </c>
      <c r="AY124" s="124">
        <v>0.56000000000000005</v>
      </c>
      <c r="AZ124" s="125">
        <f t="shared" si="315"/>
        <v>118.92473118279571</v>
      </c>
      <c r="BA124" s="125">
        <f t="shared" si="302"/>
        <v>88.48</v>
      </c>
      <c r="BC124" s="117" t="s">
        <v>243</v>
      </c>
      <c r="BD124" s="139">
        <f t="shared" si="316"/>
        <v>165.64516129032259</v>
      </c>
      <c r="BE124" s="139">
        <f t="shared" si="317"/>
        <v>123.24000000000001</v>
      </c>
      <c r="BF124" s="139">
        <f t="shared" si="318"/>
        <v>115.73924731182797</v>
      </c>
      <c r="BG124" s="139">
        <f t="shared" si="319"/>
        <v>86.11</v>
      </c>
      <c r="BH124" s="139">
        <f t="shared" si="320"/>
        <v>159.2741935483871</v>
      </c>
      <c r="BI124" s="139">
        <f t="shared" si="321"/>
        <v>118.5</v>
      </c>
      <c r="BJ124" s="139">
        <f t="shared" si="322"/>
        <v>159.2741935483871</v>
      </c>
      <c r="BK124" s="139">
        <f t="shared" si="323"/>
        <v>118.5</v>
      </c>
    </row>
    <row r="125" spans="1:63" ht="14.4">
      <c r="A125" s="126" t="s">
        <v>184</v>
      </c>
      <c r="B125" s="118">
        <v>30</v>
      </c>
      <c r="C125" s="118">
        <f t="shared" si="303"/>
        <v>720</v>
      </c>
      <c r="D125" s="122">
        <f t="shared" si="290"/>
        <v>240.27777777777777</v>
      </c>
      <c r="E125" s="118">
        <v>173</v>
      </c>
      <c r="H125" s="123"/>
      <c r="I125" s="117" t="s">
        <v>243</v>
      </c>
      <c r="J125" s="124">
        <v>0.97</v>
      </c>
      <c r="K125" s="125">
        <f t="shared" si="291"/>
        <v>233.06944444444443</v>
      </c>
      <c r="L125" s="125">
        <f t="shared" si="304"/>
        <v>167.81</v>
      </c>
      <c r="M125" s="124">
        <v>0.82</v>
      </c>
      <c r="N125" s="125">
        <f t="shared" si="292"/>
        <v>197.02777777777777</v>
      </c>
      <c r="O125" s="125">
        <f t="shared" si="305"/>
        <v>141.85999999999999</v>
      </c>
      <c r="P125" s="124">
        <v>0.93</v>
      </c>
      <c r="Q125" s="125">
        <f t="shared" si="293"/>
        <v>223.45833333333334</v>
      </c>
      <c r="R125" s="125">
        <f t="shared" si="306"/>
        <v>160.89000000000001</v>
      </c>
      <c r="S125" s="124">
        <v>0.93</v>
      </c>
      <c r="T125" s="125">
        <f t="shared" si="294"/>
        <v>223.45833333333334</v>
      </c>
      <c r="U125" s="125">
        <f t="shared" si="307"/>
        <v>160.89000000000001</v>
      </c>
      <c r="W125" s="117" t="s">
        <v>243</v>
      </c>
      <c r="X125" s="123"/>
      <c r="Y125" s="123"/>
      <c r="Z125" s="124">
        <v>0.78</v>
      </c>
      <c r="AA125" s="125">
        <f t="shared" si="324"/>
        <v>187.41666666666666</v>
      </c>
      <c r="AB125" s="125">
        <f t="shared" si="295"/>
        <v>134.94</v>
      </c>
      <c r="AC125" s="124">
        <v>0.45</v>
      </c>
      <c r="AD125" s="125">
        <f t="shared" si="325"/>
        <v>108.125</v>
      </c>
      <c r="AE125" s="125">
        <f t="shared" si="296"/>
        <v>77.850000000000009</v>
      </c>
      <c r="AF125" s="124">
        <v>0.78</v>
      </c>
      <c r="AG125" s="125">
        <f t="shared" si="326"/>
        <v>187.41666666666666</v>
      </c>
      <c r="AH125" s="125">
        <f t="shared" si="297"/>
        <v>134.94</v>
      </c>
      <c r="AI125" s="124">
        <v>0.78</v>
      </c>
      <c r="AJ125" s="125">
        <f t="shared" si="327"/>
        <v>187.41666666666666</v>
      </c>
      <c r="AK125" s="125">
        <f t="shared" si="298"/>
        <v>134.94</v>
      </c>
      <c r="AL125" s="162"/>
      <c r="AM125" s="117" t="s">
        <v>243</v>
      </c>
      <c r="AN125" s="123"/>
      <c r="AO125" s="123"/>
      <c r="AP125" s="124">
        <v>0.5</v>
      </c>
      <c r="AQ125" s="125">
        <f t="shared" si="312"/>
        <v>120.13888888888889</v>
      </c>
      <c r="AR125" s="125">
        <f t="shared" si="299"/>
        <v>86.5</v>
      </c>
      <c r="AS125" s="124">
        <v>0.32</v>
      </c>
      <c r="AT125" s="125">
        <f t="shared" si="313"/>
        <v>76.888888888888886</v>
      </c>
      <c r="AU125" s="125">
        <f t="shared" si="300"/>
        <v>55.36</v>
      </c>
      <c r="AV125" s="124">
        <v>0.55000000000000004</v>
      </c>
      <c r="AW125" s="125">
        <f t="shared" si="314"/>
        <v>132.15277777777777</v>
      </c>
      <c r="AX125" s="125">
        <f t="shared" si="301"/>
        <v>95.15</v>
      </c>
      <c r="AY125" s="124">
        <v>0.55000000000000004</v>
      </c>
      <c r="AZ125" s="125">
        <f t="shared" si="315"/>
        <v>132.15277777777777</v>
      </c>
      <c r="BA125" s="125">
        <f t="shared" si="302"/>
        <v>95.15</v>
      </c>
      <c r="BC125" s="117">
        <v>2</v>
      </c>
      <c r="BD125" s="139">
        <f t="shared" si="316"/>
        <v>176.60416666666666</v>
      </c>
      <c r="BE125" s="139">
        <f t="shared" si="317"/>
        <v>127.155</v>
      </c>
      <c r="BF125" s="139">
        <f t="shared" si="318"/>
        <v>136.95833333333331</v>
      </c>
      <c r="BG125" s="139">
        <f t="shared" si="319"/>
        <v>98.609999999999985</v>
      </c>
      <c r="BH125" s="139">
        <f t="shared" si="320"/>
        <v>177.80555555555554</v>
      </c>
      <c r="BI125" s="139">
        <f t="shared" si="321"/>
        <v>128.02000000000001</v>
      </c>
      <c r="BJ125" s="139">
        <f t="shared" si="322"/>
        <v>177.80555555555554</v>
      </c>
      <c r="BK125" s="139">
        <f>(U125+BA125)/2</f>
        <v>128.02000000000001</v>
      </c>
    </row>
    <row r="126" spans="1:63" ht="14.4">
      <c r="A126" s="126" t="s">
        <v>185</v>
      </c>
      <c r="B126" s="118">
        <v>31</v>
      </c>
      <c r="C126" s="118">
        <f t="shared" si="303"/>
        <v>744</v>
      </c>
      <c r="D126" s="122">
        <f t="shared" si="290"/>
        <v>227.15053763440861</v>
      </c>
      <c r="E126" s="118">
        <v>169</v>
      </c>
      <c r="H126" s="123"/>
      <c r="J126" s="124">
        <v>0.98</v>
      </c>
      <c r="K126" s="125">
        <f t="shared" si="291"/>
        <v>222.60752688172042</v>
      </c>
      <c r="L126" s="125">
        <f t="shared" si="304"/>
        <v>165.62</v>
      </c>
      <c r="M126" s="124">
        <v>0.81</v>
      </c>
      <c r="N126" s="125">
        <f t="shared" si="292"/>
        <v>183.99193548387098</v>
      </c>
      <c r="O126" s="125">
        <f t="shared" si="305"/>
        <v>136.89000000000001</v>
      </c>
      <c r="P126" s="124">
        <v>0.93</v>
      </c>
      <c r="Q126" s="125">
        <f t="shared" si="293"/>
        <v>211.25000000000003</v>
      </c>
      <c r="R126" s="125">
        <f t="shared" si="306"/>
        <v>157.17000000000002</v>
      </c>
      <c r="S126" s="124">
        <v>0.93</v>
      </c>
      <c r="T126" s="125">
        <f t="shared" si="294"/>
        <v>211.25000000000003</v>
      </c>
      <c r="U126" s="125">
        <f t="shared" si="307"/>
        <v>157.17000000000002</v>
      </c>
      <c r="X126" s="123"/>
      <c r="Y126" s="123"/>
      <c r="Z126" s="124">
        <v>0.81</v>
      </c>
      <c r="AA126" s="125">
        <f t="shared" si="324"/>
        <v>183.99193548387098</v>
      </c>
      <c r="AB126" s="125">
        <f t="shared" si="295"/>
        <v>136.89000000000001</v>
      </c>
      <c r="AC126" s="124">
        <v>0.42</v>
      </c>
      <c r="AD126" s="125">
        <f t="shared" si="325"/>
        <v>95.403225806451616</v>
      </c>
      <c r="AE126" s="125">
        <f t="shared" si="296"/>
        <v>70.98</v>
      </c>
      <c r="AF126" s="124">
        <v>0.78</v>
      </c>
      <c r="AG126" s="125">
        <f t="shared" si="326"/>
        <v>177.17741935483872</v>
      </c>
      <c r="AH126" s="125">
        <f t="shared" si="297"/>
        <v>131.82</v>
      </c>
      <c r="AI126" s="124">
        <v>0.78</v>
      </c>
      <c r="AJ126" s="125">
        <f t="shared" si="327"/>
        <v>177.17741935483872</v>
      </c>
      <c r="AK126" s="125">
        <f t="shared" si="298"/>
        <v>131.82</v>
      </c>
      <c r="AL126" s="162"/>
      <c r="AN126" s="123"/>
      <c r="AO126" s="123"/>
      <c r="AP126" s="124">
        <v>0.52</v>
      </c>
      <c r="AQ126" s="125">
        <f t="shared" si="312"/>
        <v>118.11827956989248</v>
      </c>
      <c r="AR126" s="125">
        <f t="shared" si="299"/>
        <v>87.88000000000001</v>
      </c>
      <c r="AS126" s="124">
        <v>0.31</v>
      </c>
      <c r="AT126" s="125">
        <f t="shared" si="313"/>
        <v>70.416666666666671</v>
      </c>
      <c r="AU126" s="125">
        <f t="shared" si="300"/>
        <v>52.39</v>
      </c>
      <c r="AV126" s="124">
        <v>0.55000000000000004</v>
      </c>
      <c r="AW126" s="125">
        <f t="shared" si="314"/>
        <v>124.93279569892475</v>
      </c>
      <c r="AX126" s="125">
        <f t="shared" si="301"/>
        <v>92.95</v>
      </c>
      <c r="AY126" s="124">
        <v>0.55000000000000004</v>
      </c>
      <c r="AZ126" s="125">
        <f t="shared" si="315"/>
        <v>124.93279569892475</v>
      </c>
      <c r="BA126" s="125">
        <f t="shared" si="302"/>
        <v>92.95</v>
      </c>
      <c r="BD126" s="139">
        <f t="shared" si="316"/>
        <v>170.36290322580646</v>
      </c>
      <c r="BE126" s="139">
        <f t="shared" si="317"/>
        <v>126.75</v>
      </c>
      <c r="BF126" s="139">
        <f t="shared" si="318"/>
        <v>127.20430107526883</v>
      </c>
      <c r="BG126" s="139">
        <f t="shared" si="319"/>
        <v>94.640000000000015</v>
      </c>
      <c r="BH126" s="139">
        <f t="shared" si="320"/>
        <v>168.0913978494624</v>
      </c>
      <c r="BI126" s="139">
        <f t="shared" si="321"/>
        <v>125.06</v>
      </c>
      <c r="BJ126" s="139">
        <f t="shared" si="322"/>
        <v>168.0913978494624</v>
      </c>
      <c r="BK126" s="139">
        <f t="shared" ref="BK126:BK127" si="328">(U126+BA126)/2</f>
        <v>125.06</v>
      </c>
    </row>
    <row r="127" spans="1:63" ht="14.4">
      <c r="A127" s="126" t="s">
        <v>186</v>
      </c>
      <c r="B127" s="118">
        <v>31</v>
      </c>
      <c r="C127" s="118">
        <f t="shared" si="303"/>
        <v>744</v>
      </c>
      <c r="D127" s="122">
        <f t="shared" si="290"/>
        <v>197.58064516129033</v>
      </c>
      <c r="E127" s="118">
        <v>147</v>
      </c>
      <c r="H127" s="123"/>
      <c r="J127" s="124">
        <v>1.04</v>
      </c>
      <c r="K127" s="125">
        <f t="shared" si="291"/>
        <v>205.48387096774195</v>
      </c>
      <c r="L127" s="125">
        <f t="shared" si="304"/>
        <v>152.88</v>
      </c>
      <c r="M127" s="124">
        <v>0.73</v>
      </c>
      <c r="N127" s="125">
        <f t="shared" si="292"/>
        <v>144.23387096774195</v>
      </c>
      <c r="O127" s="125">
        <f t="shared" si="305"/>
        <v>107.31</v>
      </c>
      <c r="P127" s="124">
        <v>0.94</v>
      </c>
      <c r="Q127" s="125">
        <f t="shared" si="293"/>
        <v>185.7258064516129</v>
      </c>
      <c r="R127" s="125">
        <f t="shared" si="306"/>
        <v>138.17999999999998</v>
      </c>
      <c r="S127" s="124">
        <v>0.94</v>
      </c>
      <c r="T127" s="125">
        <f t="shared" si="294"/>
        <v>185.7258064516129</v>
      </c>
      <c r="U127" s="125">
        <f t="shared" si="307"/>
        <v>138.17999999999998</v>
      </c>
      <c r="X127" s="123"/>
      <c r="Y127" s="123"/>
      <c r="Z127" s="124">
        <v>0.91</v>
      </c>
      <c r="AA127" s="125">
        <f t="shared" si="324"/>
        <v>179.79838709677421</v>
      </c>
      <c r="AB127" s="125">
        <f t="shared" si="295"/>
        <v>133.77000000000001</v>
      </c>
      <c r="AC127" s="124">
        <v>0.35</v>
      </c>
      <c r="AD127" s="125">
        <f t="shared" si="325"/>
        <v>69.153225806451616</v>
      </c>
      <c r="AE127" s="125">
        <f t="shared" si="296"/>
        <v>51.449999999999996</v>
      </c>
      <c r="AF127" s="124">
        <v>0.79</v>
      </c>
      <c r="AG127" s="125">
        <f t="shared" si="326"/>
        <v>156.08870967741936</v>
      </c>
      <c r="AH127" s="125">
        <f t="shared" si="297"/>
        <v>116.13000000000001</v>
      </c>
      <c r="AI127" s="124">
        <v>0.79</v>
      </c>
      <c r="AJ127" s="125">
        <f t="shared" si="327"/>
        <v>156.08870967741936</v>
      </c>
      <c r="AK127" s="125">
        <f t="shared" si="298"/>
        <v>116.13000000000001</v>
      </c>
      <c r="AL127" s="162"/>
      <c r="AN127" s="123"/>
      <c r="AO127" s="123"/>
      <c r="AP127" s="124">
        <v>0.62</v>
      </c>
      <c r="AQ127" s="125">
        <f t="shared" si="312"/>
        <v>122.5</v>
      </c>
      <c r="AR127" s="125">
        <f t="shared" si="299"/>
        <v>91.14</v>
      </c>
      <c r="AS127" s="124">
        <v>0.3</v>
      </c>
      <c r="AT127" s="125">
        <f t="shared" si="313"/>
        <v>59.274193548387096</v>
      </c>
      <c r="AU127" s="125">
        <f t="shared" si="300"/>
        <v>44.1</v>
      </c>
      <c r="AV127" s="124">
        <v>0.56999999999999995</v>
      </c>
      <c r="AW127" s="125">
        <f t="shared" si="314"/>
        <v>112.62096774193549</v>
      </c>
      <c r="AX127" s="125">
        <f t="shared" si="301"/>
        <v>83.789999999999992</v>
      </c>
      <c r="AY127" s="124">
        <v>0.56999999999999995</v>
      </c>
      <c r="AZ127" s="125">
        <f t="shared" si="315"/>
        <v>112.62096774193549</v>
      </c>
      <c r="BA127" s="125">
        <f t="shared" si="302"/>
        <v>83.789999999999992</v>
      </c>
      <c r="BD127" s="139">
        <f t="shared" si="316"/>
        <v>163.99193548387098</v>
      </c>
      <c r="BE127" s="139">
        <f>(L127+AR127)/2</f>
        <v>122.00999999999999</v>
      </c>
      <c r="BF127" s="139">
        <f t="shared" si="318"/>
        <v>101.75403225806453</v>
      </c>
      <c r="BG127" s="139">
        <f>(O127+AU127)/2</f>
        <v>75.704999999999998</v>
      </c>
      <c r="BH127" s="139">
        <f t="shared" si="320"/>
        <v>149.17338709677421</v>
      </c>
      <c r="BI127" s="139">
        <f t="shared" si="321"/>
        <v>110.98499999999999</v>
      </c>
      <c r="BJ127" s="139">
        <f t="shared" si="322"/>
        <v>149.17338709677421</v>
      </c>
      <c r="BK127" s="139">
        <f t="shared" si="328"/>
        <v>110.98499999999999</v>
      </c>
    </row>
    <row r="128" spans="1:63" ht="14.4">
      <c r="A128" s="126" t="s">
        <v>187</v>
      </c>
      <c r="B128" s="118">
        <v>30</v>
      </c>
      <c r="C128" s="118">
        <f t="shared" si="303"/>
        <v>720</v>
      </c>
      <c r="D128" s="122">
        <f t="shared" si="290"/>
        <v>150</v>
      </c>
      <c r="E128" s="118">
        <v>108</v>
      </c>
      <c r="H128" s="123"/>
      <c r="J128" s="124">
        <v>1.17</v>
      </c>
      <c r="K128" s="125">
        <f t="shared" si="291"/>
        <v>175.5</v>
      </c>
      <c r="L128" s="125">
        <f t="shared" si="304"/>
        <v>126.35999999999999</v>
      </c>
      <c r="M128" s="124">
        <v>0.59</v>
      </c>
      <c r="N128" s="125">
        <f t="shared" si="292"/>
        <v>88.5</v>
      </c>
      <c r="O128" s="125">
        <f t="shared" si="305"/>
        <v>63.72</v>
      </c>
      <c r="P128" s="124">
        <v>0.95</v>
      </c>
      <c r="Q128" s="125">
        <f t="shared" si="293"/>
        <v>142.5</v>
      </c>
      <c r="R128" s="125">
        <f t="shared" si="306"/>
        <v>102.6</v>
      </c>
      <c r="S128" s="124">
        <v>0.95</v>
      </c>
      <c r="T128" s="125">
        <f t="shared" si="294"/>
        <v>142.5</v>
      </c>
      <c r="U128" s="125">
        <f t="shared" si="307"/>
        <v>102.6</v>
      </c>
      <c r="X128" s="123"/>
      <c r="Y128" s="123"/>
      <c r="Z128" s="124">
        <v>1.1100000000000001</v>
      </c>
      <c r="AA128" s="125">
        <f t="shared" si="324"/>
        <v>166.50000000000003</v>
      </c>
      <c r="AB128" s="125">
        <f t="shared" si="295"/>
        <v>119.88000000000001</v>
      </c>
      <c r="AC128" s="124">
        <v>0.31</v>
      </c>
      <c r="AD128" s="125">
        <f t="shared" si="325"/>
        <v>46.5</v>
      </c>
      <c r="AE128" s="125">
        <f t="shared" si="296"/>
        <v>33.479999999999997</v>
      </c>
      <c r="AF128" s="124">
        <v>0.81</v>
      </c>
      <c r="AG128" s="125">
        <f t="shared" si="326"/>
        <v>121.50000000000001</v>
      </c>
      <c r="AH128" s="125">
        <f t="shared" si="297"/>
        <v>87.48</v>
      </c>
      <c r="AI128" s="124">
        <v>0.81</v>
      </c>
      <c r="AJ128" s="125">
        <f t="shared" si="327"/>
        <v>121.50000000000001</v>
      </c>
      <c r="AK128" s="125">
        <f t="shared" si="298"/>
        <v>87.48</v>
      </c>
      <c r="AL128" s="162"/>
      <c r="AN128" s="123"/>
      <c r="AO128" s="123"/>
      <c r="AP128" s="124">
        <v>0.85</v>
      </c>
      <c r="AQ128" s="125">
        <f t="shared" si="312"/>
        <v>127.5</v>
      </c>
      <c r="AR128" s="125">
        <f t="shared" si="299"/>
        <v>91.8</v>
      </c>
      <c r="AS128" s="124">
        <v>0.28000000000000003</v>
      </c>
      <c r="AT128" s="125">
        <f t="shared" si="313"/>
        <v>42.000000000000007</v>
      </c>
      <c r="AU128" s="125">
        <f t="shared" si="300"/>
        <v>30.240000000000002</v>
      </c>
      <c r="AV128" s="124">
        <v>0.6</v>
      </c>
      <c r="AW128" s="125">
        <f t="shared" si="314"/>
        <v>90</v>
      </c>
      <c r="AX128" s="125">
        <f t="shared" si="301"/>
        <v>64.8</v>
      </c>
      <c r="AY128" s="124">
        <v>0.6</v>
      </c>
      <c r="AZ128" s="125">
        <f t="shared" si="315"/>
        <v>90</v>
      </c>
      <c r="BA128" s="125">
        <f t="shared" si="302"/>
        <v>64.8</v>
      </c>
      <c r="BD128" s="139">
        <f t="shared" si="316"/>
        <v>151.5</v>
      </c>
      <c r="BE128" s="139">
        <f t="shared" ref="BE128:BE131" si="329">(L128+AR128)/2</f>
        <v>109.07999999999998</v>
      </c>
      <c r="BF128" s="139">
        <f t="shared" si="318"/>
        <v>65.25</v>
      </c>
      <c r="BG128" s="139">
        <f t="shared" ref="BG128:BG131" si="330">(O128+AU128)/2</f>
        <v>46.980000000000004</v>
      </c>
      <c r="BH128" s="139">
        <f t="shared" si="320"/>
        <v>116.25</v>
      </c>
      <c r="BI128" s="139">
        <f t="shared" si="321"/>
        <v>83.699999999999989</v>
      </c>
      <c r="BJ128" s="139">
        <f t="shared" si="322"/>
        <v>116.25</v>
      </c>
      <c r="BK128" s="139">
        <f>(U128+BA128)/2</f>
        <v>83.699999999999989</v>
      </c>
    </row>
    <row r="129" spans="1:63" ht="14.4">
      <c r="A129" s="126" t="s">
        <v>59</v>
      </c>
      <c r="B129" s="118">
        <v>31</v>
      </c>
      <c r="C129" s="118">
        <f t="shared" si="303"/>
        <v>744</v>
      </c>
      <c r="D129" s="122">
        <f t="shared" si="290"/>
        <v>79.3010752688172</v>
      </c>
      <c r="E129" s="118">
        <v>59</v>
      </c>
      <c r="H129" s="123"/>
      <c r="J129" s="124">
        <v>1.33</v>
      </c>
      <c r="K129" s="125">
        <f t="shared" si="291"/>
        <v>105.47043010752688</v>
      </c>
      <c r="L129" s="125">
        <f t="shared" si="304"/>
        <v>78.47</v>
      </c>
      <c r="M129" s="124">
        <v>0.45</v>
      </c>
      <c r="N129" s="125">
        <f t="shared" si="292"/>
        <v>35.685483870967744</v>
      </c>
      <c r="O129" s="125">
        <f t="shared" si="305"/>
        <v>26.55</v>
      </c>
      <c r="P129" s="124">
        <v>0.96</v>
      </c>
      <c r="Q129" s="125">
        <f t="shared" si="293"/>
        <v>76.129032258064512</v>
      </c>
      <c r="R129" s="125">
        <f t="shared" si="306"/>
        <v>56.64</v>
      </c>
      <c r="S129" s="124">
        <v>0.96</v>
      </c>
      <c r="T129" s="125">
        <f t="shared" si="294"/>
        <v>76.129032258064512</v>
      </c>
      <c r="U129" s="125">
        <f t="shared" si="307"/>
        <v>56.64</v>
      </c>
      <c r="X129" s="123"/>
      <c r="Y129" s="123"/>
      <c r="Z129" s="124">
        <v>1.4</v>
      </c>
      <c r="AA129" s="125">
        <f t="shared" si="324"/>
        <v>111.02150537634408</v>
      </c>
      <c r="AB129" s="125">
        <f t="shared" si="295"/>
        <v>82.6</v>
      </c>
      <c r="AC129" s="124">
        <v>0.34</v>
      </c>
      <c r="AD129" s="125">
        <f t="shared" si="325"/>
        <v>26.962365591397852</v>
      </c>
      <c r="AE129" s="125">
        <f t="shared" si="296"/>
        <v>20.060000000000002</v>
      </c>
      <c r="AF129" s="124">
        <v>0.84</v>
      </c>
      <c r="AG129" s="125">
        <f t="shared" si="326"/>
        <v>66.612903225806448</v>
      </c>
      <c r="AH129" s="125">
        <f t="shared" si="297"/>
        <v>49.559999999999995</v>
      </c>
      <c r="AI129" s="124">
        <v>0.84</v>
      </c>
      <c r="AJ129" s="125">
        <f t="shared" si="327"/>
        <v>66.612903225806448</v>
      </c>
      <c r="AK129" s="125">
        <f t="shared" si="298"/>
        <v>49.559999999999995</v>
      </c>
      <c r="AL129" s="162"/>
      <c r="AN129" s="123"/>
      <c r="AO129" s="123"/>
      <c r="AP129" s="124">
        <v>1.19</v>
      </c>
      <c r="AQ129" s="125">
        <f t="shared" si="312"/>
        <v>94.368279569892465</v>
      </c>
      <c r="AR129" s="125">
        <f t="shared" si="299"/>
        <v>70.209999999999994</v>
      </c>
      <c r="AS129" s="124">
        <v>0.3</v>
      </c>
      <c r="AT129" s="125">
        <f t="shared" si="313"/>
        <v>23.79032258064516</v>
      </c>
      <c r="AU129" s="125">
        <f t="shared" si="300"/>
        <v>17.7</v>
      </c>
      <c r="AV129" s="124">
        <v>0.63</v>
      </c>
      <c r="AW129" s="125">
        <f t="shared" si="314"/>
        <v>49.95967741935484</v>
      </c>
      <c r="AX129" s="125">
        <f t="shared" si="301"/>
        <v>37.17</v>
      </c>
      <c r="AY129" s="124">
        <v>0.63</v>
      </c>
      <c r="AZ129" s="125">
        <f t="shared" si="315"/>
        <v>49.95967741935484</v>
      </c>
      <c r="BA129" s="125">
        <f t="shared" si="302"/>
        <v>37.17</v>
      </c>
      <c r="BD129" s="139">
        <f t="shared" si="316"/>
        <v>99.919354838709666</v>
      </c>
      <c r="BE129" s="139">
        <f t="shared" si="329"/>
        <v>74.34</v>
      </c>
      <c r="BF129" s="139">
        <f t="shared" si="318"/>
        <v>29.737903225806452</v>
      </c>
      <c r="BG129" s="139">
        <f t="shared" si="330"/>
        <v>22.125</v>
      </c>
      <c r="BH129" s="139">
        <f t="shared" si="320"/>
        <v>63.04435483870968</v>
      </c>
      <c r="BI129" s="139">
        <f t="shared" si="321"/>
        <v>46.905000000000001</v>
      </c>
      <c r="BJ129" s="139">
        <f t="shared" si="322"/>
        <v>63.04435483870968</v>
      </c>
      <c r="BK129" s="139">
        <f t="shared" ref="BK129:BK131" si="331">(U129+BA129)/2</f>
        <v>46.905000000000001</v>
      </c>
    </row>
    <row r="130" spans="1:63" ht="14.4">
      <c r="A130" s="126" t="s">
        <v>60</v>
      </c>
      <c r="B130" s="118">
        <v>30</v>
      </c>
      <c r="C130" s="118">
        <f t="shared" si="303"/>
        <v>720</v>
      </c>
      <c r="D130" s="122">
        <f t="shared" si="290"/>
        <v>40.277777777777779</v>
      </c>
      <c r="E130" s="118">
        <v>29</v>
      </c>
      <c r="H130" s="123"/>
      <c r="J130" s="124">
        <v>1.52</v>
      </c>
      <c r="K130" s="125">
        <f t="shared" si="291"/>
        <v>61.222222222222221</v>
      </c>
      <c r="L130" s="125">
        <f t="shared" si="304"/>
        <v>44.08</v>
      </c>
      <c r="M130" s="124">
        <v>0.47</v>
      </c>
      <c r="N130" s="125">
        <f t="shared" si="292"/>
        <v>18.930555555555554</v>
      </c>
      <c r="O130" s="125">
        <f t="shared" si="305"/>
        <v>13.629999999999999</v>
      </c>
      <c r="P130" s="124">
        <v>0.97</v>
      </c>
      <c r="Q130" s="125">
        <f t="shared" si="293"/>
        <v>39.069444444444443</v>
      </c>
      <c r="R130" s="125">
        <f t="shared" si="306"/>
        <v>28.13</v>
      </c>
      <c r="S130" s="124">
        <v>0.97</v>
      </c>
      <c r="T130" s="125">
        <f t="shared" si="294"/>
        <v>39.069444444444443</v>
      </c>
      <c r="U130" s="125">
        <f t="shared" si="307"/>
        <v>28.13</v>
      </c>
      <c r="X130" s="123"/>
      <c r="Y130" s="123"/>
      <c r="Z130" s="124">
        <v>1.75</v>
      </c>
      <c r="AA130" s="125">
        <f t="shared" si="324"/>
        <v>70.486111111111114</v>
      </c>
      <c r="AB130" s="125">
        <f t="shared" si="295"/>
        <v>50.75</v>
      </c>
      <c r="AC130" s="124">
        <v>0.4</v>
      </c>
      <c r="AD130" s="125">
        <f t="shared" si="325"/>
        <v>16.111111111111111</v>
      </c>
      <c r="AE130" s="125">
        <f t="shared" si="296"/>
        <v>11.600000000000001</v>
      </c>
      <c r="AF130" s="124">
        <v>0.86</v>
      </c>
      <c r="AG130" s="125">
        <f t="shared" si="326"/>
        <v>34.638888888888886</v>
      </c>
      <c r="AH130" s="125">
        <f t="shared" si="297"/>
        <v>24.94</v>
      </c>
      <c r="AI130" s="124">
        <v>0.86</v>
      </c>
      <c r="AJ130" s="125">
        <f t="shared" si="327"/>
        <v>34.638888888888886</v>
      </c>
      <c r="AK130" s="125">
        <f t="shared" si="298"/>
        <v>24.94</v>
      </c>
      <c r="AL130" s="162"/>
      <c r="AN130" s="123"/>
      <c r="AO130" s="123"/>
      <c r="AP130" s="124">
        <v>1.62</v>
      </c>
      <c r="AQ130" s="125">
        <f t="shared" si="312"/>
        <v>65.25</v>
      </c>
      <c r="AR130" s="125">
        <f t="shared" si="299"/>
        <v>46.980000000000004</v>
      </c>
      <c r="AS130" s="124">
        <v>0.37</v>
      </c>
      <c r="AT130" s="125">
        <f t="shared" si="313"/>
        <v>14.902777777777779</v>
      </c>
      <c r="AU130" s="125">
        <f t="shared" si="300"/>
        <v>10.73</v>
      </c>
      <c r="AV130" s="124">
        <v>0.65</v>
      </c>
      <c r="AW130" s="125">
        <f t="shared" si="314"/>
        <v>26.180555555555557</v>
      </c>
      <c r="AX130" s="125">
        <f t="shared" si="301"/>
        <v>18.850000000000001</v>
      </c>
      <c r="AY130" s="124">
        <v>0.65</v>
      </c>
      <c r="AZ130" s="125">
        <f t="shared" si="315"/>
        <v>26.180555555555557</v>
      </c>
      <c r="BA130" s="125">
        <f t="shared" si="302"/>
        <v>18.850000000000001</v>
      </c>
      <c r="BD130" s="139">
        <f t="shared" si="316"/>
        <v>63.236111111111114</v>
      </c>
      <c r="BE130" s="139">
        <f t="shared" si="329"/>
        <v>45.53</v>
      </c>
      <c r="BF130" s="139">
        <f t="shared" si="318"/>
        <v>16.916666666666664</v>
      </c>
      <c r="BG130" s="139">
        <f t="shared" si="330"/>
        <v>12.18</v>
      </c>
      <c r="BH130" s="139">
        <f t="shared" si="320"/>
        <v>32.625</v>
      </c>
      <c r="BI130" s="139">
        <f t="shared" si="321"/>
        <v>23.490000000000002</v>
      </c>
      <c r="BJ130" s="139">
        <f t="shared" si="322"/>
        <v>32.625</v>
      </c>
      <c r="BK130" s="139">
        <f t="shared" si="331"/>
        <v>23.490000000000002</v>
      </c>
    </row>
    <row r="131" spans="1:63" ht="15" thickBot="1">
      <c r="A131" s="127" t="s">
        <v>61</v>
      </c>
      <c r="B131" s="118">
        <v>31</v>
      </c>
      <c r="C131" s="118">
        <f t="shared" si="303"/>
        <v>744</v>
      </c>
      <c r="D131" s="122">
        <f t="shared" si="290"/>
        <v>26.881720430107528</v>
      </c>
      <c r="E131" s="118">
        <v>20</v>
      </c>
      <c r="H131" s="123"/>
      <c r="J131" s="124">
        <v>1.76</v>
      </c>
      <c r="K131" s="125">
        <f t="shared" si="291"/>
        <v>47.311827956989248</v>
      </c>
      <c r="L131" s="125">
        <f t="shared" si="304"/>
        <v>35.200000000000003</v>
      </c>
      <c r="M131" s="124">
        <v>0.48</v>
      </c>
      <c r="N131" s="125">
        <f t="shared" si="292"/>
        <v>12.903225806451612</v>
      </c>
      <c r="O131" s="125">
        <f t="shared" si="305"/>
        <v>9.6</v>
      </c>
      <c r="P131" s="124">
        <v>0.99</v>
      </c>
      <c r="Q131" s="125">
        <f t="shared" si="293"/>
        <v>26.612903225806452</v>
      </c>
      <c r="R131" s="125">
        <f t="shared" si="306"/>
        <v>19.8</v>
      </c>
      <c r="S131" s="124">
        <v>0.99</v>
      </c>
      <c r="T131" s="125">
        <f t="shared" si="294"/>
        <v>26.612903225806452</v>
      </c>
      <c r="U131" s="125">
        <f t="shared" si="307"/>
        <v>19.8</v>
      </c>
      <c r="X131" s="123"/>
      <c r="Y131" s="123"/>
      <c r="Z131" s="124">
        <v>2.15</v>
      </c>
      <c r="AA131" s="125">
        <f t="shared" si="324"/>
        <v>57.795698924731184</v>
      </c>
      <c r="AB131" s="125">
        <f t="shared" si="295"/>
        <v>43</v>
      </c>
      <c r="AC131" s="124">
        <v>0.46</v>
      </c>
      <c r="AD131" s="125">
        <f t="shared" si="325"/>
        <v>12.365591397849464</v>
      </c>
      <c r="AE131" s="125">
        <f t="shared" si="296"/>
        <v>9.2000000000000011</v>
      </c>
      <c r="AF131" s="124">
        <v>0.9</v>
      </c>
      <c r="AG131" s="125">
        <f t="shared" si="326"/>
        <v>24.193548387096776</v>
      </c>
      <c r="AH131" s="125">
        <f t="shared" si="297"/>
        <v>18</v>
      </c>
      <c r="AI131" s="124">
        <v>0.9</v>
      </c>
      <c r="AJ131" s="125">
        <f t="shared" si="327"/>
        <v>24.193548387096776</v>
      </c>
      <c r="AK131" s="125">
        <f t="shared" si="298"/>
        <v>18</v>
      </c>
      <c r="AL131" s="162"/>
      <c r="AN131" s="123"/>
      <c r="AO131" s="123"/>
      <c r="AP131" s="124">
        <v>2.19</v>
      </c>
      <c r="AQ131" s="125">
        <f t="shared" si="312"/>
        <v>58.870967741935488</v>
      </c>
      <c r="AR131" s="125">
        <f t="shared" si="299"/>
        <v>43.8</v>
      </c>
      <c r="AS131" s="124">
        <v>0.46</v>
      </c>
      <c r="AT131" s="125">
        <f t="shared" si="313"/>
        <v>12.365591397849464</v>
      </c>
      <c r="AU131" s="125">
        <f t="shared" si="300"/>
        <v>9.2000000000000011</v>
      </c>
      <c r="AV131" s="124">
        <v>0.77</v>
      </c>
      <c r="AW131" s="125">
        <f t="shared" si="314"/>
        <v>20.698924731182796</v>
      </c>
      <c r="AX131" s="125">
        <f t="shared" si="301"/>
        <v>15.4</v>
      </c>
      <c r="AY131" s="124">
        <v>0.77</v>
      </c>
      <c r="AZ131" s="125">
        <f t="shared" si="315"/>
        <v>20.698924731182796</v>
      </c>
      <c r="BA131" s="125">
        <f t="shared" si="302"/>
        <v>15.4</v>
      </c>
      <c r="BD131" s="139">
        <f t="shared" si="316"/>
        <v>53.091397849462368</v>
      </c>
      <c r="BE131" s="139">
        <f t="shared" si="329"/>
        <v>39.5</v>
      </c>
      <c r="BF131" s="139">
        <f t="shared" si="318"/>
        <v>12.634408602150538</v>
      </c>
      <c r="BG131" s="139">
        <f t="shared" si="330"/>
        <v>9.4</v>
      </c>
      <c r="BH131" s="139">
        <f t="shared" si="320"/>
        <v>23.655913978494624</v>
      </c>
      <c r="BI131" s="139">
        <f t="shared" si="321"/>
        <v>17.600000000000001</v>
      </c>
      <c r="BJ131" s="139">
        <f t="shared" si="322"/>
        <v>23.655913978494624</v>
      </c>
      <c r="BK131" s="139">
        <f t="shared" si="331"/>
        <v>17.600000000000001</v>
      </c>
    </row>
    <row r="134" spans="1:63">
      <c r="A134" s="128" t="s">
        <v>201</v>
      </c>
      <c r="B134" s="120" t="s">
        <v>172</v>
      </c>
      <c r="C134" s="120" t="s">
        <v>173</v>
      </c>
      <c r="E134" s="120" t="s">
        <v>174</v>
      </c>
      <c r="F134" s="120"/>
      <c r="G134" s="120"/>
      <c r="J134" s="305" t="s">
        <v>177</v>
      </c>
      <c r="K134" s="306"/>
      <c r="L134" s="307"/>
      <c r="M134" s="305" t="s">
        <v>178</v>
      </c>
      <c r="N134" s="306"/>
      <c r="O134" s="307"/>
      <c r="P134" s="305" t="s">
        <v>179</v>
      </c>
      <c r="Q134" s="306"/>
      <c r="R134" s="306"/>
      <c r="S134" s="308" t="s">
        <v>180</v>
      </c>
      <c r="T134" s="308"/>
      <c r="U134" s="308"/>
      <c r="Z134" s="305" t="s">
        <v>177</v>
      </c>
      <c r="AA134" s="306"/>
      <c r="AB134" s="307"/>
      <c r="AC134" s="305" t="s">
        <v>178</v>
      </c>
      <c r="AD134" s="306"/>
      <c r="AE134" s="307"/>
      <c r="AF134" s="305" t="s">
        <v>179</v>
      </c>
      <c r="AG134" s="306"/>
      <c r="AH134" s="306"/>
      <c r="AI134" s="308" t="s">
        <v>180</v>
      </c>
      <c r="AJ134" s="308"/>
      <c r="AK134" s="308"/>
      <c r="AL134" s="128"/>
      <c r="AP134" s="305" t="s">
        <v>177</v>
      </c>
      <c r="AQ134" s="306"/>
      <c r="AR134" s="307"/>
      <c r="AS134" s="305" t="s">
        <v>178</v>
      </c>
      <c r="AT134" s="306"/>
      <c r="AU134" s="307"/>
      <c r="AV134" s="305" t="s">
        <v>179</v>
      </c>
      <c r="AW134" s="306"/>
      <c r="AX134" s="306"/>
      <c r="AY134" s="308" t="s">
        <v>180</v>
      </c>
      <c r="AZ134" s="308"/>
      <c r="BA134" s="308"/>
      <c r="BD134" s="310" t="s">
        <v>177</v>
      </c>
      <c r="BE134" s="311"/>
      <c r="BF134" s="310" t="s">
        <v>178</v>
      </c>
      <c r="BG134" s="311"/>
      <c r="BH134" s="310" t="s">
        <v>181</v>
      </c>
      <c r="BI134" s="311"/>
      <c r="BJ134" s="308" t="s">
        <v>180</v>
      </c>
      <c r="BK134" s="308"/>
    </row>
    <row r="135" spans="1:63" ht="13.8" thickBot="1">
      <c r="D135" s="118" t="s">
        <v>176</v>
      </c>
      <c r="E135" s="118" t="s">
        <v>175</v>
      </c>
      <c r="J135" s="117" t="s">
        <v>205</v>
      </c>
      <c r="K135" s="117" t="s">
        <v>176</v>
      </c>
      <c r="L135" s="117" t="s">
        <v>175</v>
      </c>
      <c r="M135" s="117" t="s">
        <v>205</v>
      </c>
      <c r="N135" s="117" t="s">
        <v>176</v>
      </c>
      <c r="O135" s="117" t="s">
        <v>175</v>
      </c>
      <c r="P135" s="117" t="s">
        <v>205</v>
      </c>
      <c r="Q135" s="117" t="s">
        <v>176</v>
      </c>
      <c r="R135" s="117" t="s">
        <v>175</v>
      </c>
      <c r="S135" s="137" t="s">
        <v>205</v>
      </c>
      <c r="T135" s="137" t="s">
        <v>176</v>
      </c>
      <c r="U135" s="137" t="s">
        <v>175</v>
      </c>
      <c r="Z135" s="117" t="s">
        <v>205</v>
      </c>
      <c r="AA135" s="117" t="s">
        <v>176</v>
      </c>
      <c r="AB135" s="117" t="s">
        <v>175</v>
      </c>
      <c r="AC135" s="117" t="s">
        <v>205</v>
      </c>
      <c r="AD135" s="117" t="s">
        <v>176</v>
      </c>
      <c r="AE135" s="117" t="s">
        <v>175</v>
      </c>
      <c r="AF135" s="117" t="s">
        <v>205</v>
      </c>
      <c r="AG135" s="117" t="s">
        <v>176</v>
      </c>
      <c r="AH135" s="117" t="s">
        <v>175</v>
      </c>
      <c r="AI135" s="137" t="s">
        <v>205</v>
      </c>
      <c r="AJ135" s="137" t="s">
        <v>176</v>
      </c>
      <c r="AK135" s="137" t="s">
        <v>175</v>
      </c>
      <c r="AP135" s="117" t="s">
        <v>205</v>
      </c>
      <c r="AQ135" s="117" t="s">
        <v>176</v>
      </c>
      <c r="AR135" s="117" t="s">
        <v>175</v>
      </c>
      <c r="AS135" s="117" t="s">
        <v>205</v>
      </c>
      <c r="AT135" s="117" t="s">
        <v>176</v>
      </c>
      <c r="AU135" s="117" t="s">
        <v>175</v>
      </c>
      <c r="AV135" s="117" t="s">
        <v>205</v>
      </c>
      <c r="AW135" s="117" t="s">
        <v>176</v>
      </c>
      <c r="AX135" s="117" t="s">
        <v>175</v>
      </c>
      <c r="AY135" s="137" t="s">
        <v>205</v>
      </c>
      <c r="AZ135" s="137" t="s">
        <v>176</v>
      </c>
      <c r="BA135" s="137" t="s">
        <v>175</v>
      </c>
      <c r="BD135" s="137" t="s">
        <v>176</v>
      </c>
      <c r="BE135" s="137" t="s">
        <v>175</v>
      </c>
      <c r="BF135" s="137" t="s">
        <v>176</v>
      </c>
      <c r="BG135" s="137" t="s">
        <v>175</v>
      </c>
      <c r="BH135" s="137" t="s">
        <v>176</v>
      </c>
      <c r="BI135" s="137" t="s">
        <v>175</v>
      </c>
      <c r="BJ135" s="137" t="s">
        <v>176</v>
      </c>
      <c r="BK135" s="137" t="s">
        <v>175</v>
      </c>
    </row>
    <row r="136" spans="1:63" ht="14.4">
      <c r="A136" s="121" t="s">
        <v>55</v>
      </c>
      <c r="B136" s="118">
        <v>31</v>
      </c>
      <c r="C136" s="118">
        <f>B136*24</f>
        <v>744</v>
      </c>
      <c r="D136" s="122">
        <f t="shared" ref="D136:D147" si="332">E136*1000/C136</f>
        <v>37.634408602150536</v>
      </c>
      <c r="E136" s="118">
        <v>28</v>
      </c>
      <c r="H136" s="123"/>
      <c r="J136" s="124">
        <v>1.61</v>
      </c>
      <c r="K136" s="125">
        <f t="shared" ref="K136:K147" si="333">J136*D136</f>
        <v>60.591397849462368</v>
      </c>
      <c r="L136" s="125">
        <f>$E136*J136</f>
        <v>45.080000000000005</v>
      </c>
      <c r="M136" s="124">
        <v>0.52</v>
      </c>
      <c r="N136" s="125">
        <f t="shared" ref="N136:N147" si="334">M136*D136</f>
        <v>19.56989247311828</v>
      </c>
      <c r="O136" s="125">
        <f>$E136*M136</f>
        <v>14.56</v>
      </c>
      <c r="P136" s="124">
        <v>1</v>
      </c>
      <c r="Q136" s="125">
        <f t="shared" ref="Q136:Q147" si="335">P136*D136</f>
        <v>37.634408602150536</v>
      </c>
      <c r="R136" s="125">
        <f>$E136*P136</f>
        <v>28</v>
      </c>
      <c r="S136" s="124">
        <v>1</v>
      </c>
      <c r="T136" s="125">
        <f t="shared" ref="T136:T147" si="336">S136*D136</f>
        <v>37.634408602150536</v>
      </c>
      <c r="U136" s="125">
        <f>$E136*S136</f>
        <v>28</v>
      </c>
      <c r="X136" s="123"/>
      <c r="Y136" s="123"/>
      <c r="Z136" s="124">
        <v>1.94</v>
      </c>
      <c r="AA136" s="125">
        <f>Z136*$D136</f>
        <v>73.010752688172033</v>
      </c>
      <c r="AB136" s="125">
        <f t="shared" ref="AB136:AB147" si="337">$E136*Z136</f>
        <v>54.32</v>
      </c>
      <c r="AC136" s="124">
        <v>0.51</v>
      </c>
      <c r="AD136" s="125">
        <f>AC136*$D136</f>
        <v>19.193548387096772</v>
      </c>
      <c r="AE136" s="125">
        <f t="shared" ref="AE136:AE147" si="338">$E136*AC136</f>
        <v>14.280000000000001</v>
      </c>
      <c r="AF136" s="124">
        <v>0.95</v>
      </c>
      <c r="AG136" s="125">
        <f>AF136*$D136</f>
        <v>35.752688172043008</v>
      </c>
      <c r="AH136" s="125">
        <f t="shared" ref="AH136:AH147" si="339">$E136*AF136</f>
        <v>26.599999999999998</v>
      </c>
      <c r="AI136" s="124">
        <v>0.95</v>
      </c>
      <c r="AJ136" s="125">
        <f>AI136*$D136</f>
        <v>35.752688172043008</v>
      </c>
      <c r="AK136" s="125">
        <f t="shared" ref="AK136:AK147" si="340">$E136*AI136</f>
        <v>26.599999999999998</v>
      </c>
      <c r="AL136" s="162"/>
      <c r="AN136" s="123"/>
      <c r="AO136" s="123"/>
      <c r="AP136" s="124">
        <v>1.92</v>
      </c>
      <c r="AQ136" s="125">
        <f>AP136*$D136</f>
        <v>72.258064516129025</v>
      </c>
      <c r="AR136" s="125">
        <f t="shared" ref="AR136:AR147" si="341">$E136*AP136</f>
        <v>53.76</v>
      </c>
      <c r="AS136" s="124">
        <v>0.55000000000000004</v>
      </c>
      <c r="AT136" s="125">
        <f>AS136*$D136</f>
        <v>20.698924731182796</v>
      </c>
      <c r="AU136" s="125">
        <f t="shared" ref="AU136:AU147" si="342">$E136*AS136</f>
        <v>15.400000000000002</v>
      </c>
      <c r="AV136" s="124">
        <v>0.85</v>
      </c>
      <c r="AW136" s="125">
        <f>AV136*$D136</f>
        <v>31.989247311827956</v>
      </c>
      <c r="AX136" s="125">
        <f t="shared" ref="AX136:AX147" si="343">$E136*AV136</f>
        <v>23.8</v>
      </c>
      <c r="AY136" s="124">
        <v>0.85</v>
      </c>
      <c r="AZ136" s="125">
        <f>AY136*$D136</f>
        <v>31.989247311827956</v>
      </c>
      <c r="BA136" s="125">
        <f t="shared" ref="BA136:BA147" si="344">$E136*AY136</f>
        <v>23.8</v>
      </c>
      <c r="BD136" s="139">
        <f>(K136+AQ136)/2</f>
        <v>66.424731182795696</v>
      </c>
      <c r="BE136" s="139">
        <f>(L136+AR136)/2</f>
        <v>49.42</v>
      </c>
      <c r="BF136" s="139">
        <f>(N136+AT136)/2</f>
        <v>20.134408602150536</v>
      </c>
      <c r="BG136" s="139">
        <f>(O136+AU136)/2</f>
        <v>14.98</v>
      </c>
      <c r="BH136" s="139">
        <f>(Q136+AW136)/2</f>
        <v>34.811827956989248</v>
      </c>
      <c r="BI136" s="139">
        <f>(R136+AX136)/2</f>
        <v>25.9</v>
      </c>
      <c r="BJ136" s="139">
        <f>(T136+AZ136)/2</f>
        <v>34.811827956989248</v>
      </c>
      <c r="BK136" s="139">
        <f>(U136+BA136)/2</f>
        <v>25.9</v>
      </c>
    </row>
    <row r="137" spans="1:63" ht="14.4">
      <c r="A137" s="126" t="s">
        <v>56</v>
      </c>
      <c r="B137" s="118">
        <v>28</v>
      </c>
      <c r="C137" s="118">
        <f t="shared" ref="C137:C147" si="345">B137*24</f>
        <v>672</v>
      </c>
      <c r="D137" s="122">
        <f t="shared" si="332"/>
        <v>72.916666666666671</v>
      </c>
      <c r="E137" s="118">
        <v>49</v>
      </c>
      <c r="H137" s="123"/>
      <c r="J137" s="124">
        <v>1.45</v>
      </c>
      <c r="K137" s="125">
        <f t="shared" si="333"/>
        <v>105.72916666666667</v>
      </c>
      <c r="L137" s="125">
        <f t="shared" ref="L137:L147" si="346">$E137*J137</f>
        <v>71.05</v>
      </c>
      <c r="M137" s="124">
        <v>0.45</v>
      </c>
      <c r="N137" s="125">
        <f t="shared" si="334"/>
        <v>32.8125</v>
      </c>
      <c r="O137" s="125">
        <f t="shared" ref="O137:O147" si="347">$E137*M137</f>
        <v>22.05</v>
      </c>
      <c r="P137" s="124">
        <v>0.98</v>
      </c>
      <c r="Q137" s="125">
        <f t="shared" si="335"/>
        <v>71.458333333333343</v>
      </c>
      <c r="R137" s="125">
        <f t="shared" ref="R137:R147" si="348">$E137*P137</f>
        <v>48.019999999999996</v>
      </c>
      <c r="S137" s="124">
        <v>0.98</v>
      </c>
      <c r="T137" s="125">
        <f t="shared" si="336"/>
        <v>71.458333333333343</v>
      </c>
      <c r="U137" s="125">
        <f t="shared" ref="U137:U147" si="349">$E137*S137</f>
        <v>48.019999999999996</v>
      </c>
      <c r="X137" s="123"/>
      <c r="Y137" s="123"/>
      <c r="Z137" s="124">
        <v>1.64</v>
      </c>
      <c r="AA137" s="125">
        <f t="shared" ref="AA137:AA138" si="350">Z137*$D137</f>
        <v>119.58333333333333</v>
      </c>
      <c r="AB137" s="125">
        <f t="shared" si="337"/>
        <v>80.36</v>
      </c>
      <c r="AC137" s="124">
        <v>0.44</v>
      </c>
      <c r="AD137" s="125">
        <f t="shared" ref="AD137:AD138" si="351">AC137*$D137</f>
        <v>32.083333333333336</v>
      </c>
      <c r="AE137" s="125">
        <f t="shared" si="338"/>
        <v>21.56</v>
      </c>
      <c r="AF137" s="124">
        <v>0.92</v>
      </c>
      <c r="AG137" s="125">
        <f t="shared" ref="AG137:AG138" si="352">AF137*$D137</f>
        <v>67.083333333333343</v>
      </c>
      <c r="AH137" s="125">
        <f t="shared" si="339"/>
        <v>45.080000000000005</v>
      </c>
      <c r="AI137" s="124">
        <v>0.92</v>
      </c>
      <c r="AJ137" s="125">
        <f t="shared" ref="AJ137:AJ138" si="353">AI137*$D137</f>
        <v>67.083333333333343</v>
      </c>
      <c r="AK137" s="125">
        <f t="shared" si="340"/>
        <v>45.080000000000005</v>
      </c>
      <c r="AL137" s="162"/>
      <c r="AN137" s="123"/>
      <c r="AO137" s="123"/>
      <c r="AP137" s="124">
        <v>1.54</v>
      </c>
      <c r="AQ137" s="125">
        <f t="shared" ref="AQ137:AQ147" si="354">AP137*$D137</f>
        <v>112.29166666666667</v>
      </c>
      <c r="AR137" s="125">
        <f t="shared" si="341"/>
        <v>75.460000000000008</v>
      </c>
      <c r="AS137" s="124">
        <v>0.47</v>
      </c>
      <c r="AT137" s="125">
        <f t="shared" ref="AT137:AT147" si="355">AS137*$D137</f>
        <v>34.270833333333336</v>
      </c>
      <c r="AU137" s="125">
        <f t="shared" si="342"/>
        <v>23.029999999999998</v>
      </c>
      <c r="AV137" s="124">
        <v>0.8</v>
      </c>
      <c r="AW137" s="125">
        <f t="shared" ref="AW137:AW147" si="356">AV137*$D137</f>
        <v>58.333333333333343</v>
      </c>
      <c r="AX137" s="125">
        <f t="shared" si="343"/>
        <v>39.200000000000003</v>
      </c>
      <c r="AY137" s="124">
        <v>0.8</v>
      </c>
      <c r="AZ137" s="125">
        <f t="shared" ref="AZ137:AZ147" si="357">AY137*$D137</f>
        <v>58.333333333333343</v>
      </c>
      <c r="BA137" s="125">
        <f t="shared" si="344"/>
        <v>39.200000000000003</v>
      </c>
      <c r="BD137" s="139">
        <f t="shared" ref="BD137:BD147" si="358">(K137+AQ137)/2</f>
        <v>109.01041666666667</v>
      </c>
      <c r="BE137" s="139">
        <f t="shared" ref="BE137:BE142" si="359">(L137+AR137)/2</f>
        <v>73.254999999999995</v>
      </c>
      <c r="BF137" s="139">
        <f t="shared" ref="BF137:BF147" si="360">(N137+AT137)/2</f>
        <v>33.541666666666671</v>
      </c>
      <c r="BG137" s="139">
        <f t="shared" ref="BG137:BG142" si="361">(O137+AU137)/2</f>
        <v>22.54</v>
      </c>
      <c r="BH137" s="139">
        <f t="shared" ref="BH137:BH147" si="362">(Q137+AW137)/2</f>
        <v>64.895833333333343</v>
      </c>
      <c r="BI137" s="139">
        <f t="shared" ref="BI137:BI147" si="363">(R137+AX137)/2</f>
        <v>43.61</v>
      </c>
      <c r="BJ137" s="139">
        <f t="shared" ref="BJ137:BJ147" si="364">(T137+AZ137)/2</f>
        <v>64.895833333333343</v>
      </c>
      <c r="BK137" s="139">
        <f t="shared" ref="BK137:BK140" si="365">(U137+BA137)/2</f>
        <v>43.61</v>
      </c>
    </row>
    <row r="138" spans="1:63" ht="14.4">
      <c r="A138" s="126" t="s">
        <v>57</v>
      </c>
      <c r="B138" s="118">
        <v>31</v>
      </c>
      <c r="C138" s="118">
        <f t="shared" si="345"/>
        <v>744</v>
      </c>
      <c r="D138" s="122">
        <f t="shared" si="332"/>
        <v>118.27956989247312</v>
      </c>
      <c r="E138" s="118">
        <v>88</v>
      </c>
      <c r="H138" s="123"/>
      <c r="J138" s="124">
        <v>1.25</v>
      </c>
      <c r="K138" s="125">
        <f t="shared" si="333"/>
        <v>147.84946236559139</v>
      </c>
      <c r="L138" s="125">
        <f t="shared" si="346"/>
        <v>110</v>
      </c>
      <c r="M138" s="124">
        <v>0.52</v>
      </c>
      <c r="N138" s="125">
        <f t="shared" si="334"/>
        <v>61.505376344086024</v>
      </c>
      <c r="O138" s="125">
        <f t="shared" si="347"/>
        <v>45.760000000000005</v>
      </c>
      <c r="P138" s="124">
        <v>0.96</v>
      </c>
      <c r="Q138" s="125">
        <f t="shared" si="335"/>
        <v>113.54838709677419</v>
      </c>
      <c r="R138" s="125">
        <f t="shared" si="348"/>
        <v>84.47999999999999</v>
      </c>
      <c r="S138" s="124">
        <v>0.96</v>
      </c>
      <c r="T138" s="125">
        <f t="shared" si="336"/>
        <v>113.54838709677419</v>
      </c>
      <c r="U138" s="125">
        <f t="shared" si="349"/>
        <v>84.47999999999999</v>
      </c>
      <c r="X138" s="123"/>
      <c r="Y138" s="123"/>
      <c r="Z138" s="124">
        <v>1.28</v>
      </c>
      <c r="AA138" s="125">
        <f t="shared" si="350"/>
        <v>151.3978494623656</v>
      </c>
      <c r="AB138" s="125">
        <f t="shared" si="337"/>
        <v>112.64</v>
      </c>
      <c r="AC138" s="124">
        <v>0.35</v>
      </c>
      <c r="AD138" s="125">
        <f t="shared" si="351"/>
        <v>41.397849462365592</v>
      </c>
      <c r="AE138" s="125">
        <f t="shared" si="338"/>
        <v>30.799999999999997</v>
      </c>
      <c r="AF138" s="124">
        <v>0.85</v>
      </c>
      <c r="AG138" s="125">
        <f t="shared" si="352"/>
        <v>100.53763440860214</v>
      </c>
      <c r="AH138" s="125">
        <f t="shared" si="339"/>
        <v>74.8</v>
      </c>
      <c r="AI138" s="124">
        <v>0.85</v>
      </c>
      <c r="AJ138" s="125">
        <f t="shared" si="353"/>
        <v>100.53763440860214</v>
      </c>
      <c r="AK138" s="125">
        <f t="shared" si="340"/>
        <v>74.8</v>
      </c>
      <c r="AL138" s="162"/>
      <c r="AN138" s="123"/>
      <c r="AO138" s="123"/>
      <c r="AP138" s="124">
        <v>1.06</v>
      </c>
      <c r="AQ138" s="125">
        <f t="shared" si="354"/>
        <v>125.37634408602152</v>
      </c>
      <c r="AR138" s="125">
        <f t="shared" si="341"/>
        <v>93.28</v>
      </c>
      <c r="AS138" s="124">
        <v>0.34</v>
      </c>
      <c r="AT138" s="125">
        <f t="shared" si="355"/>
        <v>40.215053763440864</v>
      </c>
      <c r="AU138" s="125">
        <f t="shared" si="342"/>
        <v>29.92</v>
      </c>
      <c r="AV138" s="124">
        <v>0.67</v>
      </c>
      <c r="AW138" s="125">
        <f t="shared" si="356"/>
        <v>79.247311827956992</v>
      </c>
      <c r="AX138" s="125">
        <f t="shared" si="343"/>
        <v>58.96</v>
      </c>
      <c r="AY138" s="124">
        <v>0.67</v>
      </c>
      <c r="AZ138" s="125">
        <f t="shared" si="357"/>
        <v>79.247311827956992</v>
      </c>
      <c r="BA138" s="125">
        <f t="shared" si="344"/>
        <v>58.96</v>
      </c>
      <c r="BD138" s="139">
        <f t="shared" si="358"/>
        <v>136.61290322580646</v>
      </c>
      <c r="BE138" s="139">
        <f t="shared" si="359"/>
        <v>101.64</v>
      </c>
      <c r="BF138" s="139">
        <f t="shared" si="360"/>
        <v>50.86021505376344</v>
      </c>
      <c r="BG138" s="139">
        <f t="shared" si="361"/>
        <v>37.840000000000003</v>
      </c>
      <c r="BH138" s="139">
        <f t="shared" si="362"/>
        <v>96.397849462365599</v>
      </c>
      <c r="BI138" s="139">
        <f t="shared" si="363"/>
        <v>71.72</v>
      </c>
      <c r="BJ138" s="139">
        <f t="shared" si="364"/>
        <v>96.397849462365599</v>
      </c>
      <c r="BK138" s="139">
        <f t="shared" si="365"/>
        <v>71.72</v>
      </c>
    </row>
    <row r="139" spans="1:63" ht="14.4">
      <c r="A139" s="126" t="s">
        <v>58</v>
      </c>
      <c r="B139" s="118">
        <v>30</v>
      </c>
      <c r="C139" s="118">
        <f t="shared" si="345"/>
        <v>720</v>
      </c>
      <c r="D139" s="122">
        <f t="shared" si="332"/>
        <v>180.55555555555554</v>
      </c>
      <c r="E139" s="118">
        <v>130</v>
      </c>
      <c r="H139" s="123"/>
      <c r="J139" s="124">
        <v>1.0900000000000001</v>
      </c>
      <c r="K139" s="125">
        <f t="shared" si="333"/>
        <v>196.80555555555554</v>
      </c>
      <c r="L139" s="125">
        <f t="shared" si="346"/>
        <v>141.70000000000002</v>
      </c>
      <c r="M139" s="124">
        <v>0.68</v>
      </c>
      <c r="N139" s="125">
        <f t="shared" si="334"/>
        <v>122.77777777777777</v>
      </c>
      <c r="O139" s="125">
        <f t="shared" si="347"/>
        <v>88.4</v>
      </c>
      <c r="P139" s="124">
        <v>0.94</v>
      </c>
      <c r="Q139" s="125">
        <f t="shared" si="335"/>
        <v>169.7222222222222</v>
      </c>
      <c r="R139" s="125">
        <f t="shared" si="348"/>
        <v>122.19999999999999</v>
      </c>
      <c r="S139" s="124">
        <v>0.94</v>
      </c>
      <c r="T139" s="125">
        <f t="shared" si="336"/>
        <v>169.7222222222222</v>
      </c>
      <c r="U139" s="125">
        <f t="shared" si="349"/>
        <v>122.19999999999999</v>
      </c>
      <c r="X139" s="123"/>
      <c r="Y139" s="123"/>
      <c r="Z139" s="124">
        <v>0.99</v>
      </c>
      <c r="AA139" s="125">
        <f>Z139*$D139</f>
        <v>178.75</v>
      </c>
      <c r="AB139" s="125">
        <f t="shared" si="337"/>
        <v>128.69999999999999</v>
      </c>
      <c r="AC139" s="124">
        <v>0.34</v>
      </c>
      <c r="AD139" s="125">
        <f>AC139*$D139</f>
        <v>61.388888888888886</v>
      </c>
      <c r="AE139" s="125">
        <f t="shared" si="338"/>
        <v>44.2</v>
      </c>
      <c r="AF139" s="124">
        <v>0.81</v>
      </c>
      <c r="AG139" s="125">
        <f>AF139*$D139</f>
        <v>146.25</v>
      </c>
      <c r="AH139" s="125">
        <f t="shared" si="339"/>
        <v>105.30000000000001</v>
      </c>
      <c r="AI139" s="124">
        <v>0.81</v>
      </c>
      <c r="AJ139" s="125">
        <f>AI139*$D139</f>
        <v>146.25</v>
      </c>
      <c r="AK139" s="125">
        <f t="shared" si="340"/>
        <v>105.30000000000001</v>
      </c>
      <c r="AL139" s="162"/>
      <c r="AN139" s="123"/>
      <c r="AO139" s="123"/>
      <c r="AP139" s="124">
        <v>0.72</v>
      </c>
      <c r="AQ139" s="125">
        <f>AP139*$D139</f>
        <v>130</v>
      </c>
      <c r="AR139" s="125">
        <f t="shared" si="341"/>
        <v>93.6</v>
      </c>
      <c r="AS139" s="124">
        <v>0.3</v>
      </c>
      <c r="AT139" s="125">
        <f>AS139*$D139</f>
        <v>54.166666666666664</v>
      </c>
      <c r="AU139" s="125">
        <f t="shared" si="342"/>
        <v>39</v>
      </c>
      <c r="AV139" s="124">
        <v>0.59</v>
      </c>
      <c r="AW139" s="125">
        <f>AV139*$D139</f>
        <v>106.52777777777777</v>
      </c>
      <c r="AX139" s="125">
        <f t="shared" si="343"/>
        <v>76.7</v>
      </c>
      <c r="AY139" s="124">
        <v>0.59</v>
      </c>
      <c r="AZ139" s="125">
        <f>AY139*$D139</f>
        <v>106.52777777777777</v>
      </c>
      <c r="BA139" s="125">
        <f t="shared" si="344"/>
        <v>76.7</v>
      </c>
      <c r="BD139" s="139">
        <f t="shared" si="358"/>
        <v>163.40277777777777</v>
      </c>
      <c r="BE139" s="139">
        <f t="shared" si="359"/>
        <v>117.65</v>
      </c>
      <c r="BF139" s="139">
        <f t="shared" si="360"/>
        <v>88.472222222222214</v>
      </c>
      <c r="BG139" s="139">
        <f t="shared" si="361"/>
        <v>63.7</v>
      </c>
      <c r="BH139" s="139">
        <f t="shared" si="362"/>
        <v>138.125</v>
      </c>
      <c r="BI139" s="139">
        <f t="shared" si="363"/>
        <v>99.449999999999989</v>
      </c>
      <c r="BJ139" s="139">
        <f t="shared" si="364"/>
        <v>138.125</v>
      </c>
      <c r="BK139" s="139">
        <f t="shared" si="365"/>
        <v>99.449999999999989</v>
      </c>
    </row>
    <row r="140" spans="1:63" ht="14.4">
      <c r="A140" s="126" t="s">
        <v>183</v>
      </c>
      <c r="B140" s="118">
        <v>31</v>
      </c>
      <c r="C140" s="118">
        <f t="shared" si="345"/>
        <v>744</v>
      </c>
      <c r="D140" s="122">
        <f t="shared" si="332"/>
        <v>211.02150537634409</v>
      </c>
      <c r="E140" s="118">
        <v>157</v>
      </c>
      <c r="H140" s="123"/>
      <c r="J140" s="124">
        <v>1.01</v>
      </c>
      <c r="K140" s="125">
        <f t="shared" si="333"/>
        <v>213.13172043010755</v>
      </c>
      <c r="L140" s="125">
        <f t="shared" si="346"/>
        <v>158.57</v>
      </c>
      <c r="M140" s="124">
        <v>0.79</v>
      </c>
      <c r="N140" s="125">
        <f t="shared" si="334"/>
        <v>166.70698924731184</v>
      </c>
      <c r="O140" s="125">
        <f t="shared" si="347"/>
        <v>124.03</v>
      </c>
      <c r="P140" s="124">
        <v>0.94</v>
      </c>
      <c r="Q140" s="125">
        <f t="shared" si="335"/>
        <v>198.36021505376343</v>
      </c>
      <c r="R140" s="125">
        <f t="shared" si="348"/>
        <v>147.57999999999998</v>
      </c>
      <c r="S140" s="124">
        <v>0.94</v>
      </c>
      <c r="T140" s="125">
        <f t="shared" si="336"/>
        <v>198.36021505376343</v>
      </c>
      <c r="U140" s="125">
        <f t="shared" si="349"/>
        <v>147.57999999999998</v>
      </c>
      <c r="X140" s="123"/>
      <c r="Y140" s="123"/>
      <c r="Z140" s="124">
        <v>0.84</v>
      </c>
      <c r="AA140" s="125">
        <f t="shared" ref="AA140:AA147" si="366">Z140*$D140</f>
        <v>177.25806451612902</v>
      </c>
      <c r="AB140" s="125">
        <f t="shared" si="337"/>
        <v>131.88</v>
      </c>
      <c r="AC140" s="124">
        <v>0.4</v>
      </c>
      <c r="AD140" s="125">
        <f t="shared" ref="AD140:AD147" si="367">AC140*$D140</f>
        <v>84.408602150537646</v>
      </c>
      <c r="AE140" s="125">
        <f t="shared" si="338"/>
        <v>62.800000000000004</v>
      </c>
      <c r="AF140" s="124">
        <v>0.79</v>
      </c>
      <c r="AG140" s="125">
        <f t="shared" ref="AG140:AG147" si="368">AF140*$D140</f>
        <v>166.70698924731184</v>
      </c>
      <c r="AH140" s="125">
        <f t="shared" si="339"/>
        <v>124.03</v>
      </c>
      <c r="AI140" s="124">
        <v>0.79</v>
      </c>
      <c r="AJ140" s="125">
        <f t="shared" ref="AJ140:AJ147" si="369">AI140*$D140</f>
        <v>166.70698924731184</v>
      </c>
      <c r="AK140" s="125">
        <f t="shared" si="340"/>
        <v>124.03</v>
      </c>
      <c r="AL140" s="162"/>
      <c r="AN140" s="123"/>
      <c r="AO140" s="123"/>
      <c r="AP140" s="124">
        <v>0.55000000000000004</v>
      </c>
      <c r="AQ140" s="125">
        <f t="shared" si="354"/>
        <v>116.06182795698926</v>
      </c>
      <c r="AR140" s="125">
        <f t="shared" si="341"/>
        <v>86.350000000000009</v>
      </c>
      <c r="AS140" s="124">
        <v>0.3</v>
      </c>
      <c r="AT140" s="125">
        <f t="shared" si="355"/>
        <v>63.306451612903224</v>
      </c>
      <c r="AU140" s="125">
        <f t="shared" si="342"/>
        <v>47.1</v>
      </c>
      <c r="AV140" s="124">
        <v>0.56000000000000005</v>
      </c>
      <c r="AW140" s="125">
        <f t="shared" si="356"/>
        <v>118.1720430107527</v>
      </c>
      <c r="AX140" s="125">
        <f t="shared" si="343"/>
        <v>87.92</v>
      </c>
      <c r="AY140" s="124">
        <v>0.56000000000000005</v>
      </c>
      <c r="AZ140" s="125">
        <f t="shared" si="357"/>
        <v>118.1720430107527</v>
      </c>
      <c r="BA140" s="125">
        <f t="shared" si="344"/>
        <v>87.92</v>
      </c>
      <c r="BC140" s="117" t="s">
        <v>191</v>
      </c>
      <c r="BD140" s="139">
        <f t="shared" si="358"/>
        <v>164.59677419354841</v>
      </c>
      <c r="BE140" s="139">
        <f t="shared" si="359"/>
        <v>122.46000000000001</v>
      </c>
      <c r="BF140" s="139">
        <f t="shared" si="360"/>
        <v>115.00672043010753</v>
      </c>
      <c r="BG140" s="139">
        <f t="shared" si="361"/>
        <v>85.564999999999998</v>
      </c>
      <c r="BH140" s="139">
        <f t="shared" si="362"/>
        <v>158.26612903225805</v>
      </c>
      <c r="BI140" s="139">
        <f t="shared" si="363"/>
        <v>117.75</v>
      </c>
      <c r="BJ140" s="139">
        <f t="shared" si="364"/>
        <v>158.26612903225805</v>
      </c>
      <c r="BK140" s="139">
        <f t="shared" si="365"/>
        <v>117.75</v>
      </c>
    </row>
    <row r="141" spans="1:63" ht="14.4">
      <c r="A141" s="126" t="s">
        <v>184</v>
      </c>
      <c r="B141" s="118">
        <v>30</v>
      </c>
      <c r="C141" s="118">
        <f t="shared" si="345"/>
        <v>720</v>
      </c>
      <c r="D141" s="122">
        <f t="shared" si="332"/>
        <v>238.88888888888889</v>
      </c>
      <c r="E141" s="118">
        <v>172</v>
      </c>
      <c r="H141" s="123"/>
      <c r="I141" s="117" t="s">
        <v>191</v>
      </c>
      <c r="J141" s="124">
        <v>0.97</v>
      </c>
      <c r="K141" s="125">
        <f t="shared" si="333"/>
        <v>231.7222222222222</v>
      </c>
      <c r="L141" s="125">
        <f t="shared" si="346"/>
        <v>166.84</v>
      </c>
      <c r="M141" s="124">
        <v>0.82</v>
      </c>
      <c r="N141" s="125">
        <f t="shared" si="334"/>
        <v>195.88888888888889</v>
      </c>
      <c r="O141" s="125">
        <f t="shared" si="347"/>
        <v>141.04</v>
      </c>
      <c r="P141" s="124">
        <v>0.93</v>
      </c>
      <c r="Q141" s="125">
        <f t="shared" si="335"/>
        <v>222.16666666666669</v>
      </c>
      <c r="R141" s="125">
        <f t="shared" si="348"/>
        <v>159.96</v>
      </c>
      <c r="S141" s="124">
        <v>0.93</v>
      </c>
      <c r="T141" s="125">
        <f t="shared" si="336"/>
        <v>222.16666666666669</v>
      </c>
      <c r="U141" s="125">
        <f t="shared" si="349"/>
        <v>159.96</v>
      </c>
      <c r="W141" s="117" t="s">
        <v>191</v>
      </c>
      <c r="X141" s="123"/>
      <c r="Y141" s="123"/>
      <c r="Z141" s="124">
        <v>0.78</v>
      </c>
      <c r="AA141" s="125">
        <f t="shared" si="366"/>
        <v>186.33333333333334</v>
      </c>
      <c r="AB141" s="125">
        <f t="shared" si="337"/>
        <v>134.16</v>
      </c>
      <c r="AC141" s="124">
        <v>0.45</v>
      </c>
      <c r="AD141" s="125">
        <f t="shared" si="367"/>
        <v>107.5</v>
      </c>
      <c r="AE141" s="125">
        <f t="shared" si="338"/>
        <v>77.400000000000006</v>
      </c>
      <c r="AF141" s="124">
        <v>0.78</v>
      </c>
      <c r="AG141" s="125">
        <f t="shared" si="368"/>
        <v>186.33333333333334</v>
      </c>
      <c r="AH141" s="125">
        <f t="shared" si="339"/>
        <v>134.16</v>
      </c>
      <c r="AI141" s="124">
        <v>0.78</v>
      </c>
      <c r="AJ141" s="125">
        <f t="shared" si="369"/>
        <v>186.33333333333334</v>
      </c>
      <c r="AK141" s="125">
        <f t="shared" si="340"/>
        <v>134.16</v>
      </c>
      <c r="AL141" s="162"/>
      <c r="AM141" s="117" t="s">
        <v>191</v>
      </c>
      <c r="AN141" s="123"/>
      <c r="AO141" s="123"/>
      <c r="AP141" s="124">
        <v>0.5</v>
      </c>
      <c r="AQ141" s="125">
        <f t="shared" si="354"/>
        <v>119.44444444444444</v>
      </c>
      <c r="AR141" s="125">
        <f t="shared" si="341"/>
        <v>86</v>
      </c>
      <c r="AS141" s="124">
        <v>0.32</v>
      </c>
      <c r="AT141" s="125">
        <f t="shared" si="355"/>
        <v>76.444444444444443</v>
      </c>
      <c r="AU141" s="125">
        <f t="shared" si="342"/>
        <v>55.04</v>
      </c>
      <c r="AV141" s="124">
        <v>0.55000000000000004</v>
      </c>
      <c r="AW141" s="125">
        <f t="shared" si="356"/>
        <v>131.38888888888889</v>
      </c>
      <c r="AX141" s="125">
        <f t="shared" si="343"/>
        <v>94.600000000000009</v>
      </c>
      <c r="AY141" s="124">
        <v>0.55000000000000004</v>
      </c>
      <c r="AZ141" s="125">
        <f t="shared" si="357"/>
        <v>131.38888888888889</v>
      </c>
      <c r="BA141" s="125">
        <f t="shared" si="344"/>
        <v>94.600000000000009</v>
      </c>
      <c r="BC141" s="117" t="s">
        <v>243</v>
      </c>
      <c r="BD141" s="139">
        <f t="shared" si="358"/>
        <v>175.58333333333331</v>
      </c>
      <c r="BE141" s="139">
        <f t="shared" si="359"/>
        <v>126.42</v>
      </c>
      <c r="BF141" s="139">
        <f t="shared" si="360"/>
        <v>136.16666666666666</v>
      </c>
      <c r="BG141" s="139">
        <f t="shared" si="361"/>
        <v>98.039999999999992</v>
      </c>
      <c r="BH141" s="139">
        <f t="shared" si="362"/>
        <v>176.77777777777777</v>
      </c>
      <c r="BI141" s="139">
        <f t="shared" si="363"/>
        <v>127.28</v>
      </c>
      <c r="BJ141" s="139">
        <f t="shared" si="364"/>
        <v>176.77777777777777</v>
      </c>
      <c r="BK141" s="139">
        <f>(U141+BA141)/2</f>
        <v>127.28</v>
      </c>
    </row>
    <row r="142" spans="1:63" ht="14.4">
      <c r="A142" s="126" t="s">
        <v>185</v>
      </c>
      <c r="B142" s="118">
        <v>31</v>
      </c>
      <c r="C142" s="118">
        <f t="shared" si="345"/>
        <v>744</v>
      </c>
      <c r="D142" s="122">
        <f t="shared" si="332"/>
        <v>223.11827956989248</v>
      </c>
      <c r="E142" s="118">
        <v>166</v>
      </c>
      <c r="H142" s="123"/>
      <c r="I142" s="117" t="s">
        <v>243</v>
      </c>
      <c r="J142" s="124">
        <v>0.98</v>
      </c>
      <c r="K142" s="125">
        <f t="shared" si="333"/>
        <v>218.65591397849462</v>
      </c>
      <c r="L142" s="125">
        <f t="shared" si="346"/>
        <v>162.68</v>
      </c>
      <c r="M142" s="124">
        <v>0.81</v>
      </c>
      <c r="N142" s="125">
        <f t="shared" si="334"/>
        <v>180.72580645161293</v>
      </c>
      <c r="O142" s="125">
        <f t="shared" si="347"/>
        <v>134.46</v>
      </c>
      <c r="P142" s="124">
        <v>0.93</v>
      </c>
      <c r="Q142" s="125">
        <f t="shared" si="335"/>
        <v>207.50000000000003</v>
      </c>
      <c r="R142" s="125">
        <f t="shared" si="348"/>
        <v>154.38</v>
      </c>
      <c r="S142" s="124">
        <v>0.93</v>
      </c>
      <c r="T142" s="125">
        <f t="shared" si="336"/>
        <v>207.50000000000003</v>
      </c>
      <c r="U142" s="125">
        <f t="shared" si="349"/>
        <v>154.38</v>
      </c>
      <c r="W142" s="117" t="s">
        <v>243</v>
      </c>
      <c r="X142" s="123"/>
      <c r="Y142" s="123"/>
      <c r="Z142" s="124">
        <v>0.81</v>
      </c>
      <c r="AA142" s="125">
        <f t="shared" si="366"/>
        <v>180.72580645161293</v>
      </c>
      <c r="AB142" s="125">
        <f t="shared" si="337"/>
        <v>134.46</v>
      </c>
      <c r="AC142" s="124">
        <v>0.42</v>
      </c>
      <c r="AD142" s="125">
        <f t="shared" si="367"/>
        <v>93.709677419354833</v>
      </c>
      <c r="AE142" s="125">
        <f t="shared" si="338"/>
        <v>69.72</v>
      </c>
      <c r="AF142" s="124">
        <v>0.78</v>
      </c>
      <c r="AG142" s="125">
        <f t="shared" si="368"/>
        <v>174.03225806451613</v>
      </c>
      <c r="AH142" s="125">
        <f t="shared" si="339"/>
        <v>129.48000000000002</v>
      </c>
      <c r="AI142" s="124">
        <v>0.78</v>
      </c>
      <c r="AJ142" s="125">
        <f t="shared" si="369"/>
        <v>174.03225806451613</v>
      </c>
      <c r="AK142" s="125">
        <f t="shared" si="340"/>
        <v>129.48000000000002</v>
      </c>
      <c r="AL142" s="162"/>
      <c r="AM142" s="117" t="s">
        <v>243</v>
      </c>
      <c r="AN142" s="123"/>
      <c r="AO142" s="123"/>
      <c r="AP142" s="124">
        <v>0.52</v>
      </c>
      <c r="AQ142" s="125">
        <f t="shared" si="354"/>
        <v>116.02150537634409</v>
      </c>
      <c r="AR142" s="125">
        <f t="shared" si="341"/>
        <v>86.320000000000007</v>
      </c>
      <c r="AS142" s="124">
        <v>0.31</v>
      </c>
      <c r="AT142" s="125">
        <f t="shared" si="355"/>
        <v>69.166666666666671</v>
      </c>
      <c r="AU142" s="125">
        <f t="shared" si="342"/>
        <v>51.46</v>
      </c>
      <c r="AV142" s="124">
        <v>0.55000000000000004</v>
      </c>
      <c r="AW142" s="125">
        <f t="shared" si="356"/>
        <v>122.71505376344088</v>
      </c>
      <c r="AX142" s="125">
        <f t="shared" si="343"/>
        <v>91.300000000000011</v>
      </c>
      <c r="AY142" s="124">
        <v>0.55000000000000004</v>
      </c>
      <c r="AZ142" s="125">
        <f t="shared" si="357"/>
        <v>122.71505376344088</v>
      </c>
      <c r="BA142" s="125">
        <f t="shared" si="344"/>
        <v>91.300000000000011</v>
      </c>
      <c r="BD142" s="139">
        <f t="shared" si="358"/>
        <v>167.33870967741936</v>
      </c>
      <c r="BE142" s="139">
        <f t="shared" si="359"/>
        <v>124.5</v>
      </c>
      <c r="BF142" s="139">
        <f t="shared" si="360"/>
        <v>124.94623655913981</v>
      </c>
      <c r="BG142" s="139">
        <f t="shared" si="361"/>
        <v>92.960000000000008</v>
      </c>
      <c r="BH142" s="139">
        <f t="shared" si="362"/>
        <v>165.10752688172045</v>
      </c>
      <c r="BI142" s="139">
        <f t="shared" si="363"/>
        <v>122.84</v>
      </c>
      <c r="BJ142" s="139">
        <f t="shared" si="364"/>
        <v>165.10752688172045</v>
      </c>
      <c r="BK142" s="139">
        <f t="shared" ref="BK142:BK143" si="370">(U142+BA142)/2</f>
        <v>122.84</v>
      </c>
    </row>
    <row r="143" spans="1:63" ht="14.4">
      <c r="A143" s="126" t="s">
        <v>186</v>
      </c>
      <c r="B143" s="118">
        <v>31</v>
      </c>
      <c r="C143" s="118">
        <f t="shared" si="345"/>
        <v>744</v>
      </c>
      <c r="D143" s="122">
        <f t="shared" si="332"/>
        <v>192.20430107526883</v>
      </c>
      <c r="E143" s="118">
        <v>143</v>
      </c>
      <c r="H143" s="123"/>
      <c r="J143" s="124">
        <v>1.04</v>
      </c>
      <c r="K143" s="125">
        <f t="shared" si="333"/>
        <v>199.89247311827958</v>
      </c>
      <c r="L143" s="125">
        <f t="shared" si="346"/>
        <v>148.72</v>
      </c>
      <c r="M143" s="124">
        <v>0.73</v>
      </c>
      <c r="N143" s="125">
        <f t="shared" si="334"/>
        <v>140.30913978494624</v>
      </c>
      <c r="O143" s="125">
        <f t="shared" si="347"/>
        <v>104.39</v>
      </c>
      <c r="P143" s="124">
        <v>0.94</v>
      </c>
      <c r="Q143" s="125">
        <f t="shared" si="335"/>
        <v>180.6720430107527</v>
      </c>
      <c r="R143" s="125">
        <f t="shared" si="348"/>
        <v>134.41999999999999</v>
      </c>
      <c r="S143" s="124">
        <v>0.94</v>
      </c>
      <c r="T143" s="125">
        <f t="shared" si="336"/>
        <v>180.6720430107527</v>
      </c>
      <c r="U143" s="125">
        <f t="shared" si="349"/>
        <v>134.41999999999999</v>
      </c>
      <c r="X143" s="123"/>
      <c r="Y143" s="123"/>
      <c r="Z143" s="124">
        <v>0.91</v>
      </c>
      <c r="AA143" s="125">
        <f t="shared" si="366"/>
        <v>174.90591397849465</v>
      </c>
      <c r="AB143" s="125">
        <f t="shared" si="337"/>
        <v>130.13</v>
      </c>
      <c r="AC143" s="124">
        <v>0.35</v>
      </c>
      <c r="AD143" s="125">
        <f t="shared" si="367"/>
        <v>67.271505376344081</v>
      </c>
      <c r="AE143" s="125">
        <f t="shared" si="338"/>
        <v>50.05</v>
      </c>
      <c r="AF143" s="124">
        <v>0.79</v>
      </c>
      <c r="AG143" s="125">
        <f t="shared" si="368"/>
        <v>151.8413978494624</v>
      </c>
      <c r="AH143" s="125">
        <f t="shared" si="339"/>
        <v>112.97</v>
      </c>
      <c r="AI143" s="124">
        <v>0.79</v>
      </c>
      <c r="AJ143" s="125">
        <f t="shared" si="369"/>
        <v>151.8413978494624</v>
      </c>
      <c r="AK143" s="125">
        <f t="shared" si="340"/>
        <v>112.97</v>
      </c>
      <c r="AL143" s="162"/>
      <c r="AN143" s="123"/>
      <c r="AO143" s="123"/>
      <c r="AP143" s="124">
        <v>0.62</v>
      </c>
      <c r="AQ143" s="125">
        <f t="shared" si="354"/>
        <v>119.16666666666667</v>
      </c>
      <c r="AR143" s="125">
        <f t="shared" si="341"/>
        <v>88.66</v>
      </c>
      <c r="AS143" s="124">
        <v>0.3</v>
      </c>
      <c r="AT143" s="125">
        <f t="shared" si="355"/>
        <v>57.661290322580648</v>
      </c>
      <c r="AU143" s="125">
        <f t="shared" si="342"/>
        <v>42.9</v>
      </c>
      <c r="AV143" s="124">
        <v>0.56999999999999995</v>
      </c>
      <c r="AW143" s="125">
        <f t="shared" si="356"/>
        <v>109.55645161290322</v>
      </c>
      <c r="AX143" s="125">
        <f t="shared" si="343"/>
        <v>81.509999999999991</v>
      </c>
      <c r="AY143" s="124">
        <v>0.56999999999999995</v>
      </c>
      <c r="AZ143" s="125">
        <f t="shared" si="357"/>
        <v>109.55645161290322</v>
      </c>
      <c r="BA143" s="125">
        <f t="shared" si="344"/>
        <v>81.509999999999991</v>
      </c>
      <c r="BD143" s="139">
        <f t="shared" si="358"/>
        <v>159.52956989247312</v>
      </c>
      <c r="BE143" s="139">
        <f>(L143+AR143)/2</f>
        <v>118.69</v>
      </c>
      <c r="BF143" s="139">
        <f t="shared" si="360"/>
        <v>98.98521505376344</v>
      </c>
      <c r="BG143" s="139">
        <f>(O143+AU143)/2</f>
        <v>73.644999999999996</v>
      </c>
      <c r="BH143" s="139">
        <f t="shared" si="362"/>
        <v>145.11424731182797</v>
      </c>
      <c r="BI143" s="139">
        <f t="shared" si="363"/>
        <v>107.96499999999999</v>
      </c>
      <c r="BJ143" s="139">
        <f t="shared" si="364"/>
        <v>145.11424731182797</v>
      </c>
      <c r="BK143" s="139">
        <f t="shared" si="370"/>
        <v>107.96499999999999</v>
      </c>
    </row>
    <row r="144" spans="1:63" ht="14.4">
      <c r="A144" s="126" t="s">
        <v>187</v>
      </c>
      <c r="B144" s="118">
        <v>30</v>
      </c>
      <c r="C144" s="118">
        <f t="shared" si="345"/>
        <v>720</v>
      </c>
      <c r="D144" s="122">
        <f t="shared" si="332"/>
        <v>150</v>
      </c>
      <c r="E144" s="118">
        <v>108</v>
      </c>
      <c r="H144" s="123"/>
      <c r="J144" s="124">
        <v>1.17</v>
      </c>
      <c r="K144" s="125">
        <f t="shared" si="333"/>
        <v>175.5</v>
      </c>
      <c r="L144" s="125">
        <f t="shared" si="346"/>
        <v>126.35999999999999</v>
      </c>
      <c r="M144" s="124">
        <v>0.59</v>
      </c>
      <c r="N144" s="125">
        <f t="shared" si="334"/>
        <v>88.5</v>
      </c>
      <c r="O144" s="125">
        <f t="shared" si="347"/>
        <v>63.72</v>
      </c>
      <c r="P144" s="124">
        <v>0.95</v>
      </c>
      <c r="Q144" s="125">
        <f t="shared" si="335"/>
        <v>142.5</v>
      </c>
      <c r="R144" s="125">
        <f t="shared" si="348"/>
        <v>102.6</v>
      </c>
      <c r="S144" s="124">
        <v>0.95</v>
      </c>
      <c r="T144" s="125">
        <f t="shared" si="336"/>
        <v>142.5</v>
      </c>
      <c r="U144" s="125">
        <f t="shared" si="349"/>
        <v>102.6</v>
      </c>
      <c r="X144" s="123"/>
      <c r="Y144" s="123"/>
      <c r="Z144" s="124">
        <v>1.1100000000000001</v>
      </c>
      <c r="AA144" s="125">
        <f t="shared" si="366"/>
        <v>166.50000000000003</v>
      </c>
      <c r="AB144" s="125">
        <f t="shared" si="337"/>
        <v>119.88000000000001</v>
      </c>
      <c r="AC144" s="124">
        <v>0.31</v>
      </c>
      <c r="AD144" s="125">
        <f t="shared" si="367"/>
        <v>46.5</v>
      </c>
      <c r="AE144" s="125">
        <f t="shared" si="338"/>
        <v>33.479999999999997</v>
      </c>
      <c r="AF144" s="124">
        <v>0.81</v>
      </c>
      <c r="AG144" s="125">
        <f t="shared" si="368"/>
        <v>121.50000000000001</v>
      </c>
      <c r="AH144" s="125">
        <f t="shared" si="339"/>
        <v>87.48</v>
      </c>
      <c r="AI144" s="124">
        <v>0.81</v>
      </c>
      <c r="AJ144" s="125">
        <f t="shared" si="369"/>
        <v>121.50000000000001</v>
      </c>
      <c r="AK144" s="125">
        <f t="shared" si="340"/>
        <v>87.48</v>
      </c>
      <c r="AL144" s="162"/>
      <c r="AN144" s="123"/>
      <c r="AO144" s="123"/>
      <c r="AP144" s="124">
        <v>0.85</v>
      </c>
      <c r="AQ144" s="125">
        <f t="shared" si="354"/>
        <v>127.5</v>
      </c>
      <c r="AR144" s="125">
        <f t="shared" si="341"/>
        <v>91.8</v>
      </c>
      <c r="AS144" s="124">
        <v>0.28000000000000003</v>
      </c>
      <c r="AT144" s="125">
        <f t="shared" si="355"/>
        <v>42.000000000000007</v>
      </c>
      <c r="AU144" s="125">
        <f t="shared" si="342"/>
        <v>30.240000000000002</v>
      </c>
      <c r="AV144" s="124">
        <v>0.6</v>
      </c>
      <c r="AW144" s="125">
        <f t="shared" si="356"/>
        <v>90</v>
      </c>
      <c r="AX144" s="125">
        <f t="shared" si="343"/>
        <v>64.8</v>
      </c>
      <c r="AY144" s="124">
        <v>0.6</v>
      </c>
      <c r="AZ144" s="125">
        <f t="shared" si="357"/>
        <v>90</v>
      </c>
      <c r="BA144" s="125">
        <f t="shared" si="344"/>
        <v>64.8</v>
      </c>
      <c r="BD144" s="139">
        <f t="shared" si="358"/>
        <v>151.5</v>
      </c>
      <c r="BE144" s="139">
        <f t="shared" ref="BE144:BE147" si="371">(L144+AR144)/2</f>
        <v>109.07999999999998</v>
      </c>
      <c r="BF144" s="139">
        <f t="shared" si="360"/>
        <v>65.25</v>
      </c>
      <c r="BG144" s="139">
        <f t="shared" ref="BG144:BG147" si="372">(O144+AU144)/2</f>
        <v>46.980000000000004</v>
      </c>
      <c r="BH144" s="139">
        <f t="shared" si="362"/>
        <v>116.25</v>
      </c>
      <c r="BI144" s="139">
        <f t="shared" si="363"/>
        <v>83.699999999999989</v>
      </c>
      <c r="BJ144" s="139">
        <f t="shared" si="364"/>
        <v>116.25</v>
      </c>
      <c r="BK144" s="139">
        <f>(U144+BA144)/2</f>
        <v>83.699999999999989</v>
      </c>
    </row>
    <row r="145" spans="1:63" ht="14.4">
      <c r="A145" s="126" t="s">
        <v>59</v>
      </c>
      <c r="B145" s="118">
        <v>31</v>
      </c>
      <c r="C145" s="118">
        <f t="shared" si="345"/>
        <v>744</v>
      </c>
      <c r="D145" s="122">
        <f t="shared" si="332"/>
        <v>86.021505376344081</v>
      </c>
      <c r="E145" s="118">
        <v>64</v>
      </c>
      <c r="H145" s="123"/>
      <c r="J145" s="124">
        <v>1.33</v>
      </c>
      <c r="K145" s="125">
        <f t="shared" si="333"/>
        <v>114.40860215053763</v>
      </c>
      <c r="L145" s="125">
        <f t="shared" si="346"/>
        <v>85.12</v>
      </c>
      <c r="M145" s="124">
        <v>0.45</v>
      </c>
      <c r="N145" s="125">
        <f t="shared" si="334"/>
        <v>38.70967741935484</v>
      </c>
      <c r="O145" s="125">
        <f t="shared" si="347"/>
        <v>28.8</v>
      </c>
      <c r="P145" s="124">
        <v>0.96</v>
      </c>
      <c r="Q145" s="125">
        <f t="shared" si="335"/>
        <v>82.58064516129032</v>
      </c>
      <c r="R145" s="125">
        <f t="shared" si="348"/>
        <v>61.44</v>
      </c>
      <c r="S145" s="124">
        <v>0.96</v>
      </c>
      <c r="T145" s="125">
        <f t="shared" si="336"/>
        <v>82.58064516129032</v>
      </c>
      <c r="U145" s="125">
        <f t="shared" si="349"/>
        <v>61.44</v>
      </c>
      <c r="X145" s="123"/>
      <c r="Y145" s="123"/>
      <c r="Z145" s="124">
        <v>1.4</v>
      </c>
      <c r="AA145" s="125">
        <f t="shared" si="366"/>
        <v>120.4301075268817</v>
      </c>
      <c r="AB145" s="125">
        <f t="shared" si="337"/>
        <v>89.6</v>
      </c>
      <c r="AC145" s="124">
        <v>0.34</v>
      </c>
      <c r="AD145" s="125">
        <f t="shared" si="367"/>
        <v>29.247311827956988</v>
      </c>
      <c r="AE145" s="125">
        <f t="shared" si="338"/>
        <v>21.76</v>
      </c>
      <c r="AF145" s="124">
        <v>0.84</v>
      </c>
      <c r="AG145" s="125">
        <f t="shared" si="368"/>
        <v>72.258064516129025</v>
      </c>
      <c r="AH145" s="125">
        <f t="shared" si="339"/>
        <v>53.76</v>
      </c>
      <c r="AI145" s="124">
        <v>0.84</v>
      </c>
      <c r="AJ145" s="125">
        <f t="shared" si="369"/>
        <v>72.258064516129025</v>
      </c>
      <c r="AK145" s="125">
        <f t="shared" si="340"/>
        <v>53.76</v>
      </c>
      <c r="AL145" s="162"/>
      <c r="AN145" s="123"/>
      <c r="AO145" s="123"/>
      <c r="AP145" s="124">
        <v>1.19</v>
      </c>
      <c r="AQ145" s="125">
        <f t="shared" si="354"/>
        <v>102.36559139784946</v>
      </c>
      <c r="AR145" s="125">
        <f t="shared" si="341"/>
        <v>76.16</v>
      </c>
      <c r="AS145" s="124">
        <v>0.3</v>
      </c>
      <c r="AT145" s="125">
        <f t="shared" si="355"/>
        <v>25.806451612903224</v>
      </c>
      <c r="AU145" s="125">
        <f t="shared" si="342"/>
        <v>19.2</v>
      </c>
      <c r="AV145" s="124">
        <v>0.63</v>
      </c>
      <c r="AW145" s="125">
        <f t="shared" si="356"/>
        <v>54.193548387096769</v>
      </c>
      <c r="AX145" s="125">
        <f t="shared" si="343"/>
        <v>40.32</v>
      </c>
      <c r="AY145" s="124">
        <v>0.63</v>
      </c>
      <c r="AZ145" s="125">
        <f t="shared" si="357"/>
        <v>54.193548387096769</v>
      </c>
      <c r="BA145" s="125">
        <f t="shared" si="344"/>
        <v>40.32</v>
      </c>
      <c r="BD145" s="139">
        <f t="shared" si="358"/>
        <v>108.38709677419354</v>
      </c>
      <c r="BE145" s="139">
        <f t="shared" si="371"/>
        <v>80.64</v>
      </c>
      <c r="BF145" s="139">
        <f t="shared" si="360"/>
        <v>32.258064516129032</v>
      </c>
      <c r="BG145" s="139">
        <f t="shared" si="372"/>
        <v>24</v>
      </c>
      <c r="BH145" s="139">
        <f t="shared" si="362"/>
        <v>68.387096774193537</v>
      </c>
      <c r="BI145" s="139">
        <f t="shared" si="363"/>
        <v>50.879999999999995</v>
      </c>
      <c r="BJ145" s="139">
        <f t="shared" si="364"/>
        <v>68.387096774193537</v>
      </c>
      <c r="BK145" s="139">
        <f t="shared" ref="BK145:BK147" si="373">(U145+BA145)/2</f>
        <v>50.879999999999995</v>
      </c>
    </row>
    <row r="146" spans="1:63" ht="14.4">
      <c r="A146" s="126" t="s">
        <v>60</v>
      </c>
      <c r="B146" s="118">
        <v>30</v>
      </c>
      <c r="C146" s="118">
        <f t="shared" si="345"/>
        <v>720</v>
      </c>
      <c r="D146" s="122">
        <f t="shared" si="332"/>
        <v>43.055555555555557</v>
      </c>
      <c r="E146" s="118">
        <v>31</v>
      </c>
      <c r="H146" s="123"/>
      <c r="J146" s="124">
        <v>1.52</v>
      </c>
      <c r="K146" s="125">
        <f t="shared" si="333"/>
        <v>65.444444444444443</v>
      </c>
      <c r="L146" s="125">
        <f t="shared" si="346"/>
        <v>47.12</v>
      </c>
      <c r="M146" s="124">
        <v>0.47</v>
      </c>
      <c r="N146" s="125">
        <f t="shared" si="334"/>
        <v>20.236111111111111</v>
      </c>
      <c r="O146" s="125">
        <f t="shared" si="347"/>
        <v>14.569999999999999</v>
      </c>
      <c r="P146" s="124">
        <v>0.97</v>
      </c>
      <c r="Q146" s="125">
        <f t="shared" si="335"/>
        <v>41.763888888888886</v>
      </c>
      <c r="R146" s="125">
        <f t="shared" si="348"/>
        <v>30.07</v>
      </c>
      <c r="S146" s="124">
        <v>0.97</v>
      </c>
      <c r="T146" s="125">
        <f t="shared" si="336"/>
        <v>41.763888888888886</v>
      </c>
      <c r="U146" s="125">
        <f t="shared" si="349"/>
        <v>30.07</v>
      </c>
      <c r="X146" s="123"/>
      <c r="Y146" s="123"/>
      <c r="Z146" s="124">
        <v>1.75</v>
      </c>
      <c r="AA146" s="125">
        <f t="shared" si="366"/>
        <v>75.347222222222229</v>
      </c>
      <c r="AB146" s="125">
        <f t="shared" si="337"/>
        <v>54.25</v>
      </c>
      <c r="AC146" s="124">
        <v>0.4</v>
      </c>
      <c r="AD146" s="125">
        <f t="shared" si="367"/>
        <v>17.222222222222225</v>
      </c>
      <c r="AE146" s="125">
        <f t="shared" si="338"/>
        <v>12.4</v>
      </c>
      <c r="AF146" s="124">
        <v>0.86</v>
      </c>
      <c r="AG146" s="125">
        <f t="shared" si="368"/>
        <v>37.027777777777779</v>
      </c>
      <c r="AH146" s="125">
        <f t="shared" si="339"/>
        <v>26.66</v>
      </c>
      <c r="AI146" s="124">
        <v>0.86</v>
      </c>
      <c r="AJ146" s="125">
        <f t="shared" si="369"/>
        <v>37.027777777777779</v>
      </c>
      <c r="AK146" s="125">
        <f t="shared" si="340"/>
        <v>26.66</v>
      </c>
      <c r="AL146" s="162"/>
      <c r="AN146" s="123"/>
      <c r="AO146" s="123"/>
      <c r="AP146" s="124">
        <v>1.62</v>
      </c>
      <c r="AQ146" s="125">
        <f t="shared" si="354"/>
        <v>69.750000000000014</v>
      </c>
      <c r="AR146" s="125">
        <f t="shared" si="341"/>
        <v>50.220000000000006</v>
      </c>
      <c r="AS146" s="124">
        <v>0.37</v>
      </c>
      <c r="AT146" s="125">
        <f t="shared" si="355"/>
        <v>15.930555555555555</v>
      </c>
      <c r="AU146" s="125">
        <f t="shared" si="342"/>
        <v>11.47</v>
      </c>
      <c r="AV146" s="124">
        <v>0.65</v>
      </c>
      <c r="AW146" s="125">
        <f t="shared" si="356"/>
        <v>27.986111111111114</v>
      </c>
      <c r="AX146" s="125">
        <f t="shared" si="343"/>
        <v>20.150000000000002</v>
      </c>
      <c r="AY146" s="124">
        <v>0.65</v>
      </c>
      <c r="AZ146" s="125">
        <f t="shared" si="357"/>
        <v>27.986111111111114</v>
      </c>
      <c r="BA146" s="125">
        <f t="shared" si="344"/>
        <v>20.150000000000002</v>
      </c>
      <c r="BD146" s="139">
        <f t="shared" si="358"/>
        <v>67.597222222222229</v>
      </c>
      <c r="BE146" s="139">
        <f t="shared" si="371"/>
        <v>48.67</v>
      </c>
      <c r="BF146" s="139">
        <f t="shared" si="360"/>
        <v>18.083333333333332</v>
      </c>
      <c r="BG146" s="139">
        <f t="shared" si="372"/>
        <v>13.02</v>
      </c>
      <c r="BH146" s="139">
        <f t="shared" si="362"/>
        <v>34.875</v>
      </c>
      <c r="BI146" s="139">
        <f t="shared" si="363"/>
        <v>25.11</v>
      </c>
      <c r="BJ146" s="139">
        <f t="shared" si="364"/>
        <v>34.875</v>
      </c>
      <c r="BK146" s="139">
        <f t="shared" si="373"/>
        <v>25.11</v>
      </c>
    </row>
    <row r="147" spans="1:63" ht="15" thickBot="1">
      <c r="A147" s="127" t="s">
        <v>61</v>
      </c>
      <c r="B147" s="118">
        <v>31</v>
      </c>
      <c r="C147" s="118">
        <f t="shared" si="345"/>
        <v>744</v>
      </c>
      <c r="D147" s="122">
        <f t="shared" si="332"/>
        <v>28.225806451612904</v>
      </c>
      <c r="E147" s="118">
        <v>21</v>
      </c>
      <c r="H147" s="123"/>
      <c r="J147" s="124">
        <v>1.76</v>
      </c>
      <c r="K147" s="125">
        <f t="shared" si="333"/>
        <v>49.677419354838712</v>
      </c>
      <c r="L147" s="125">
        <f t="shared" si="346"/>
        <v>36.96</v>
      </c>
      <c r="M147" s="124">
        <v>0.48</v>
      </c>
      <c r="N147" s="125">
        <f t="shared" si="334"/>
        <v>13.548387096774194</v>
      </c>
      <c r="O147" s="125">
        <f t="shared" si="347"/>
        <v>10.08</v>
      </c>
      <c r="P147" s="124">
        <v>0.99</v>
      </c>
      <c r="Q147" s="125">
        <f t="shared" si="335"/>
        <v>27.943548387096776</v>
      </c>
      <c r="R147" s="125">
        <f t="shared" si="348"/>
        <v>20.79</v>
      </c>
      <c r="S147" s="124">
        <v>0.99</v>
      </c>
      <c r="T147" s="125">
        <f t="shared" si="336"/>
        <v>27.943548387096776</v>
      </c>
      <c r="U147" s="125">
        <f t="shared" si="349"/>
        <v>20.79</v>
      </c>
      <c r="X147" s="123"/>
      <c r="Y147" s="123"/>
      <c r="Z147" s="124">
        <v>2.15</v>
      </c>
      <c r="AA147" s="125">
        <f t="shared" si="366"/>
        <v>60.685483870967744</v>
      </c>
      <c r="AB147" s="125">
        <f t="shared" si="337"/>
        <v>45.15</v>
      </c>
      <c r="AC147" s="124">
        <v>0.46</v>
      </c>
      <c r="AD147" s="125">
        <f t="shared" si="367"/>
        <v>12.983870967741936</v>
      </c>
      <c r="AE147" s="125">
        <f t="shared" si="338"/>
        <v>9.66</v>
      </c>
      <c r="AF147" s="124">
        <v>0.9</v>
      </c>
      <c r="AG147" s="125">
        <f t="shared" si="368"/>
        <v>25.403225806451616</v>
      </c>
      <c r="AH147" s="125">
        <f t="shared" si="339"/>
        <v>18.900000000000002</v>
      </c>
      <c r="AI147" s="124">
        <v>0.9</v>
      </c>
      <c r="AJ147" s="125">
        <f t="shared" si="369"/>
        <v>25.403225806451616</v>
      </c>
      <c r="AK147" s="125">
        <f t="shared" si="340"/>
        <v>18.900000000000002</v>
      </c>
      <c r="AL147" s="162"/>
      <c r="AN147" s="123"/>
      <c r="AO147" s="123"/>
      <c r="AP147" s="124">
        <v>2.19</v>
      </c>
      <c r="AQ147" s="125">
        <f t="shared" si="354"/>
        <v>61.814516129032256</v>
      </c>
      <c r="AR147" s="125">
        <f t="shared" si="341"/>
        <v>45.99</v>
      </c>
      <c r="AS147" s="124">
        <v>0.46</v>
      </c>
      <c r="AT147" s="125">
        <f t="shared" si="355"/>
        <v>12.983870967741936</v>
      </c>
      <c r="AU147" s="125">
        <f t="shared" si="342"/>
        <v>9.66</v>
      </c>
      <c r="AV147" s="124">
        <v>0.77</v>
      </c>
      <c r="AW147" s="125">
        <f t="shared" si="356"/>
        <v>21.733870967741936</v>
      </c>
      <c r="AX147" s="125">
        <f t="shared" si="343"/>
        <v>16.170000000000002</v>
      </c>
      <c r="AY147" s="124">
        <v>0.77</v>
      </c>
      <c r="AZ147" s="125">
        <f t="shared" si="357"/>
        <v>21.733870967741936</v>
      </c>
      <c r="BA147" s="125">
        <f t="shared" si="344"/>
        <v>16.170000000000002</v>
      </c>
      <c r="BD147" s="139">
        <f t="shared" si="358"/>
        <v>55.745967741935488</v>
      </c>
      <c r="BE147" s="139">
        <f t="shared" si="371"/>
        <v>41.475000000000001</v>
      </c>
      <c r="BF147" s="139">
        <f t="shared" si="360"/>
        <v>13.266129032258064</v>
      </c>
      <c r="BG147" s="139">
        <f t="shared" si="372"/>
        <v>9.870000000000001</v>
      </c>
      <c r="BH147" s="139">
        <f t="shared" si="362"/>
        <v>24.838709677419356</v>
      </c>
      <c r="BI147" s="139">
        <f t="shared" si="363"/>
        <v>18.48</v>
      </c>
      <c r="BJ147" s="139">
        <f t="shared" si="364"/>
        <v>24.838709677419356</v>
      </c>
      <c r="BK147" s="139">
        <f t="shared" si="373"/>
        <v>18.48</v>
      </c>
    </row>
    <row r="149" spans="1:63">
      <c r="A149" s="128" t="s">
        <v>201</v>
      </c>
      <c r="B149" s="120" t="s">
        <v>172</v>
      </c>
      <c r="C149" s="120" t="s">
        <v>173</v>
      </c>
      <c r="E149" s="120" t="s">
        <v>174</v>
      </c>
      <c r="F149" s="120"/>
      <c r="G149" s="120"/>
      <c r="J149" s="305" t="s">
        <v>177</v>
      </c>
      <c r="K149" s="306"/>
      <c r="L149" s="307"/>
      <c r="M149" s="305" t="s">
        <v>178</v>
      </c>
      <c r="N149" s="306"/>
      <c r="O149" s="307"/>
      <c r="P149" s="305" t="s">
        <v>179</v>
      </c>
      <c r="Q149" s="306"/>
      <c r="R149" s="306"/>
      <c r="S149" s="308" t="s">
        <v>180</v>
      </c>
      <c r="T149" s="308"/>
      <c r="U149" s="308"/>
      <c r="Z149" s="305" t="s">
        <v>177</v>
      </c>
      <c r="AA149" s="306"/>
      <c r="AB149" s="307"/>
      <c r="AC149" s="305" t="s">
        <v>178</v>
      </c>
      <c r="AD149" s="306"/>
      <c r="AE149" s="307"/>
      <c r="AF149" s="305" t="s">
        <v>179</v>
      </c>
      <c r="AG149" s="306"/>
      <c r="AH149" s="306"/>
      <c r="AI149" s="308" t="s">
        <v>180</v>
      </c>
      <c r="AJ149" s="308"/>
      <c r="AK149" s="308"/>
      <c r="AL149" s="128"/>
      <c r="AP149" s="305" t="s">
        <v>177</v>
      </c>
      <c r="AQ149" s="306"/>
      <c r="AR149" s="307"/>
      <c r="AS149" s="305" t="s">
        <v>178</v>
      </c>
      <c r="AT149" s="306"/>
      <c r="AU149" s="307"/>
      <c r="AV149" s="305" t="s">
        <v>179</v>
      </c>
      <c r="AW149" s="306"/>
      <c r="AX149" s="306"/>
      <c r="AY149" s="308" t="s">
        <v>180</v>
      </c>
      <c r="AZ149" s="308"/>
      <c r="BA149" s="308"/>
      <c r="BD149" s="310" t="s">
        <v>177</v>
      </c>
      <c r="BE149" s="311"/>
      <c r="BF149" s="310" t="s">
        <v>178</v>
      </c>
      <c r="BG149" s="311"/>
      <c r="BH149" s="310" t="s">
        <v>181</v>
      </c>
      <c r="BI149" s="311"/>
      <c r="BJ149" s="308" t="s">
        <v>180</v>
      </c>
      <c r="BK149" s="308"/>
    </row>
    <row r="150" spans="1:63" ht="13.8" thickBot="1">
      <c r="D150" s="118" t="s">
        <v>176</v>
      </c>
      <c r="E150" s="118" t="s">
        <v>175</v>
      </c>
      <c r="J150" s="117" t="s">
        <v>205</v>
      </c>
      <c r="K150" s="117" t="s">
        <v>176</v>
      </c>
      <c r="L150" s="117" t="s">
        <v>175</v>
      </c>
      <c r="M150" s="117" t="s">
        <v>205</v>
      </c>
      <c r="N150" s="117" t="s">
        <v>176</v>
      </c>
      <c r="O150" s="117" t="s">
        <v>175</v>
      </c>
      <c r="P150" s="117" t="s">
        <v>205</v>
      </c>
      <c r="Q150" s="117" t="s">
        <v>176</v>
      </c>
      <c r="R150" s="117" t="s">
        <v>175</v>
      </c>
      <c r="S150" s="137" t="s">
        <v>205</v>
      </c>
      <c r="T150" s="137" t="s">
        <v>176</v>
      </c>
      <c r="U150" s="137" t="s">
        <v>175</v>
      </c>
      <c r="Z150" s="117" t="s">
        <v>205</v>
      </c>
      <c r="AA150" s="117" t="s">
        <v>176</v>
      </c>
      <c r="AB150" s="117" t="s">
        <v>175</v>
      </c>
      <c r="AC150" s="117" t="s">
        <v>205</v>
      </c>
      <c r="AD150" s="117" t="s">
        <v>176</v>
      </c>
      <c r="AE150" s="117" t="s">
        <v>175</v>
      </c>
      <c r="AF150" s="117" t="s">
        <v>205</v>
      </c>
      <c r="AG150" s="117" t="s">
        <v>176</v>
      </c>
      <c r="AH150" s="117" t="s">
        <v>175</v>
      </c>
      <c r="AI150" s="137" t="s">
        <v>205</v>
      </c>
      <c r="AJ150" s="137" t="s">
        <v>176</v>
      </c>
      <c r="AK150" s="137" t="s">
        <v>175</v>
      </c>
      <c r="AP150" s="117" t="s">
        <v>205</v>
      </c>
      <c r="AQ150" s="117" t="s">
        <v>176</v>
      </c>
      <c r="AR150" s="117" t="s">
        <v>175</v>
      </c>
      <c r="AS150" s="117" t="s">
        <v>205</v>
      </c>
      <c r="AT150" s="117" t="s">
        <v>176</v>
      </c>
      <c r="AU150" s="117" t="s">
        <v>175</v>
      </c>
      <c r="AV150" s="117" t="s">
        <v>205</v>
      </c>
      <c r="AW150" s="117" t="s">
        <v>176</v>
      </c>
      <c r="AX150" s="117" t="s">
        <v>175</v>
      </c>
      <c r="AY150" s="137" t="s">
        <v>205</v>
      </c>
      <c r="AZ150" s="137" t="s">
        <v>176</v>
      </c>
      <c r="BA150" s="137" t="s">
        <v>175</v>
      </c>
      <c r="BD150" s="137" t="s">
        <v>176</v>
      </c>
      <c r="BE150" s="137" t="s">
        <v>175</v>
      </c>
      <c r="BF150" s="137" t="s">
        <v>176</v>
      </c>
      <c r="BG150" s="137" t="s">
        <v>175</v>
      </c>
      <c r="BH150" s="137" t="s">
        <v>176</v>
      </c>
      <c r="BI150" s="137" t="s">
        <v>175</v>
      </c>
      <c r="BJ150" s="137" t="s">
        <v>176</v>
      </c>
      <c r="BK150" s="137" t="s">
        <v>175</v>
      </c>
    </row>
    <row r="151" spans="1:63" ht="14.4">
      <c r="A151" s="121" t="s">
        <v>55</v>
      </c>
      <c r="B151" s="118">
        <v>31</v>
      </c>
      <c r="C151" s="118">
        <f>B151*24</f>
        <v>744</v>
      </c>
      <c r="D151" s="122">
        <f t="shared" ref="D151:D162" si="374">E151*1000/C151</f>
        <v>38.978494623655912</v>
      </c>
      <c r="E151" s="118">
        <v>29</v>
      </c>
      <c r="H151" s="123"/>
      <c r="J151" s="124">
        <v>1.61</v>
      </c>
      <c r="K151" s="125">
        <f t="shared" ref="K151:K162" si="375">J151*D151</f>
        <v>62.755376344086024</v>
      </c>
      <c r="L151" s="125">
        <f>$E151*J151</f>
        <v>46.690000000000005</v>
      </c>
      <c r="M151" s="124">
        <v>0.52</v>
      </c>
      <c r="N151" s="125">
        <f t="shared" ref="N151:N162" si="376">M151*D151</f>
        <v>20.268817204301076</v>
      </c>
      <c r="O151" s="125">
        <f>$E151*M151</f>
        <v>15.08</v>
      </c>
      <c r="P151" s="124">
        <v>1</v>
      </c>
      <c r="Q151" s="125">
        <f t="shared" ref="Q151:Q162" si="377">P151*D151</f>
        <v>38.978494623655912</v>
      </c>
      <c r="R151" s="125">
        <f>$E151*P151</f>
        <v>29</v>
      </c>
      <c r="S151" s="124">
        <v>1</v>
      </c>
      <c r="T151" s="125">
        <f t="shared" ref="T151:T162" si="378">S151*D151</f>
        <v>38.978494623655912</v>
      </c>
      <c r="U151" s="125">
        <f>$E151*S151</f>
        <v>29</v>
      </c>
      <c r="X151" s="123"/>
      <c r="Y151" s="123"/>
      <c r="Z151" s="124">
        <v>1.94</v>
      </c>
      <c r="AA151" s="125">
        <f>Z151*$D151</f>
        <v>75.618279569892465</v>
      </c>
      <c r="AB151" s="125">
        <f t="shared" ref="AB151:AB162" si="379">$E151*Z151</f>
        <v>56.26</v>
      </c>
      <c r="AC151" s="124">
        <v>0.51</v>
      </c>
      <c r="AD151" s="125">
        <f>AC151*$D151</f>
        <v>19.879032258064516</v>
      </c>
      <c r="AE151" s="125">
        <f t="shared" ref="AE151:AE162" si="380">$E151*AC151</f>
        <v>14.790000000000001</v>
      </c>
      <c r="AF151" s="124">
        <v>0.95</v>
      </c>
      <c r="AG151" s="125">
        <f>AF151*$D151</f>
        <v>37.029569892473113</v>
      </c>
      <c r="AH151" s="125">
        <f t="shared" ref="AH151:AH162" si="381">$E151*AF151</f>
        <v>27.549999999999997</v>
      </c>
      <c r="AI151" s="124">
        <v>0.95</v>
      </c>
      <c r="AJ151" s="125">
        <f>AI151*$D151</f>
        <v>37.029569892473113</v>
      </c>
      <c r="AK151" s="125">
        <f t="shared" ref="AK151:AK162" si="382">$E151*AI151</f>
        <v>27.549999999999997</v>
      </c>
      <c r="AL151" s="162"/>
      <c r="AN151" s="123"/>
      <c r="AO151" s="123"/>
      <c r="AP151" s="124">
        <v>1.92</v>
      </c>
      <c r="AQ151" s="125">
        <f>AP151*$D151</f>
        <v>74.838709677419345</v>
      </c>
      <c r="AR151" s="125">
        <f t="shared" ref="AR151:AR162" si="383">$E151*AP151</f>
        <v>55.68</v>
      </c>
      <c r="AS151" s="124">
        <v>0.55000000000000004</v>
      </c>
      <c r="AT151" s="125">
        <f>AS151*$D151</f>
        <v>21.438172043010752</v>
      </c>
      <c r="AU151" s="125">
        <f t="shared" ref="AU151:AU162" si="384">$E151*AS151</f>
        <v>15.950000000000001</v>
      </c>
      <c r="AV151" s="124">
        <v>0.85</v>
      </c>
      <c r="AW151" s="125">
        <f>AV151*$D151</f>
        <v>33.131720430107528</v>
      </c>
      <c r="AX151" s="125">
        <f t="shared" ref="AX151:AX162" si="385">$E151*AV151</f>
        <v>24.65</v>
      </c>
      <c r="AY151" s="124">
        <v>0.85</v>
      </c>
      <c r="AZ151" s="125">
        <f>AY151*$D151</f>
        <v>33.131720430107528</v>
      </c>
      <c r="BA151" s="125">
        <f t="shared" ref="BA151:BA162" si="386">$E151*AY151</f>
        <v>24.65</v>
      </c>
      <c r="BD151" s="139">
        <f>(K151+AQ151)/2</f>
        <v>68.797043010752688</v>
      </c>
      <c r="BE151" s="139">
        <f>(L151+AR151)/2</f>
        <v>51.185000000000002</v>
      </c>
      <c r="BF151" s="139">
        <f>(N151+AT151)/2</f>
        <v>20.853494623655912</v>
      </c>
      <c r="BG151" s="139">
        <f>(O151+AU151)/2</f>
        <v>15.515000000000001</v>
      </c>
      <c r="BH151" s="139">
        <f>(Q151+AW151)/2</f>
        <v>36.05510752688172</v>
      </c>
      <c r="BI151" s="139">
        <f>(R151+AX151)/2</f>
        <v>26.824999999999999</v>
      </c>
      <c r="BJ151" s="139">
        <f>(T151+AZ151)/2</f>
        <v>36.05510752688172</v>
      </c>
      <c r="BK151" s="139">
        <f>(U151+BA151)/2</f>
        <v>26.824999999999999</v>
      </c>
    </row>
    <row r="152" spans="1:63" ht="14.4">
      <c r="A152" s="126" t="s">
        <v>56</v>
      </c>
      <c r="B152" s="118">
        <v>28</v>
      </c>
      <c r="C152" s="118">
        <f t="shared" ref="C152:C162" si="387">B152*24</f>
        <v>672</v>
      </c>
      <c r="D152" s="122">
        <f t="shared" si="374"/>
        <v>74.404761904761898</v>
      </c>
      <c r="E152" s="118">
        <v>50</v>
      </c>
      <c r="H152" s="123"/>
      <c r="J152" s="124">
        <v>1.45</v>
      </c>
      <c r="K152" s="125">
        <f t="shared" si="375"/>
        <v>107.88690476190474</v>
      </c>
      <c r="L152" s="125">
        <f t="shared" ref="L152:L162" si="388">$E152*J152</f>
        <v>72.5</v>
      </c>
      <c r="M152" s="124">
        <v>0.45</v>
      </c>
      <c r="N152" s="125">
        <f t="shared" si="376"/>
        <v>33.482142857142854</v>
      </c>
      <c r="O152" s="125">
        <f t="shared" ref="O152:O162" si="389">$E152*M152</f>
        <v>22.5</v>
      </c>
      <c r="P152" s="124">
        <v>0.98</v>
      </c>
      <c r="Q152" s="125">
        <f t="shared" si="377"/>
        <v>72.916666666666657</v>
      </c>
      <c r="R152" s="125">
        <f t="shared" ref="R152:R162" si="390">$E152*P152</f>
        <v>49</v>
      </c>
      <c r="S152" s="124">
        <v>0.98</v>
      </c>
      <c r="T152" s="125">
        <f t="shared" si="378"/>
        <v>72.916666666666657</v>
      </c>
      <c r="U152" s="125">
        <f t="shared" ref="U152:U162" si="391">$E152*S152</f>
        <v>49</v>
      </c>
      <c r="X152" s="123"/>
      <c r="Y152" s="123"/>
      <c r="Z152" s="124">
        <v>1.64</v>
      </c>
      <c r="AA152" s="125">
        <f t="shared" ref="AA152:AA153" si="392">Z152*$D152</f>
        <v>122.0238095238095</v>
      </c>
      <c r="AB152" s="125">
        <f t="shared" si="379"/>
        <v>82</v>
      </c>
      <c r="AC152" s="124">
        <v>0.44</v>
      </c>
      <c r="AD152" s="125">
        <f t="shared" ref="AD152:AD153" si="393">AC152*$D152</f>
        <v>32.738095238095234</v>
      </c>
      <c r="AE152" s="125">
        <f t="shared" si="380"/>
        <v>22</v>
      </c>
      <c r="AF152" s="124">
        <v>0.92</v>
      </c>
      <c r="AG152" s="125">
        <f t="shared" ref="AG152:AG153" si="394">AF152*$D152</f>
        <v>68.452380952380949</v>
      </c>
      <c r="AH152" s="125">
        <f t="shared" si="381"/>
        <v>46</v>
      </c>
      <c r="AI152" s="124">
        <v>0.92</v>
      </c>
      <c r="AJ152" s="125">
        <f t="shared" ref="AJ152:AJ153" si="395">AI152*$D152</f>
        <v>68.452380952380949</v>
      </c>
      <c r="AK152" s="125">
        <f t="shared" si="382"/>
        <v>46</v>
      </c>
      <c r="AL152" s="162"/>
      <c r="AN152" s="123"/>
      <c r="AO152" s="123"/>
      <c r="AP152" s="124">
        <v>1.54</v>
      </c>
      <c r="AQ152" s="125">
        <f t="shared" ref="AQ152:AQ162" si="396">AP152*$D152</f>
        <v>114.58333333333333</v>
      </c>
      <c r="AR152" s="125">
        <f t="shared" si="383"/>
        <v>77</v>
      </c>
      <c r="AS152" s="124">
        <v>0.47</v>
      </c>
      <c r="AT152" s="125">
        <f t="shared" ref="AT152:AT162" si="397">AS152*$D152</f>
        <v>34.970238095238088</v>
      </c>
      <c r="AU152" s="125">
        <f t="shared" si="384"/>
        <v>23.5</v>
      </c>
      <c r="AV152" s="124">
        <v>0.8</v>
      </c>
      <c r="AW152" s="125">
        <f t="shared" ref="AW152:AW162" si="398">AV152*$D152</f>
        <v>59.523809523809518</v>
      </c>
      <c r="AX152" s="125">
        <f t="shared" si="385"/>
        <v>40</v>
      </c>
      <c r="AY152" s="124">
        <v>0.8</v>
      </c>
      <c r="AZ152" s="125">
        <f t="shared" ref="AZ152:AZ162" si="399">AY152*$D152</f>
        <v>59.523809523809518</v>
      </c>
      <c r="BA152" s="125">
        <f t="shared" si="386"/>
        <v>40</v>
      </c>
      <c r="BD152" s="139">
        <f t="shared" ref="BD152:BD162" si="400">(K152+AQ152)/2</f>
        <v>111.23511904761904</v>
      </c>
      <c r="BE152" s="139">
        <f t="shared" ref="BE152:BE157" si="401">(L152+AR152)/2</f>
        <v>74.75</v>
      </c>
      <c r="BF152" s="139">
        <f t="shared" ref="BF152:BF162" si="402">(N152+AT152)/2</f>
        <v>34.226190476190467</v>
      </c>
      <c r="BG152" s="139">
        <f t="shared" ref="BG152:BG157" si="403">(O152+AU152)/2</f>
        <v>23</v>
      </c>
      <c r="BH152" s="139">
        <f t="shared" ref="BH152:BH162" si="404">(Q152+AW152)/2</f>
        <v>66.220238095238088</v>
      </c>
      <c r="BI152" s="139">
        <f t="shared" ref="BI152:BI162" si="405">(R152+AX152)/2</f>
        <v>44.5</v>
      </c>
      <c r="BJ152" s="139">
        <f t="shared" ref="BJ152:BJ162" si="406">(T152+AZ152)/2</f>
        <v>66.220238095238088</v>
      </c>
      <c r="BK152" s="139">
        <f t="shared" ref="BK152:BK155" si="407">(U152+BA152)/2</f>
        <v>44.5</v>
      </c>
    </row>
    <row r="153" spans="1:63" ht="14.4">
      <c r="A153" s="126" t="s">
        <v>57</v>
      </c>
      <c r="B153" s="118">
        <v>31</v>
      </c>
      <c r="C153" s="118">
        <f t="shared" si="387"/>
        <v>744</v>
      </c>
      <c r="D153" s="122">
        <f t="shared" si="374"/>
        <v>120.96774193548387</v>
      </c>
      <c r="E153" s="118">
        <v>90</v>
      </c>
      <c r="H153" s="123"/>
      <c r="J153" s="124">
        <v>1.25</v>
      </c>
      <c r="K153" s="125">
        <f t="shared" si="375"/>
        <v>151.20967741935485</v>
      </c>
      <c r="L153" s="125">
        <f t="shared" si="388"/>
        <v>112.5</v>
      </c>
      <c r="M153" s="124">
        <v>0.52</v>
      </c>
      <c r="N153" s="125">
        <f t="shared" si="376"/>
        <v>62.903225806451616</v>
      </c>
      <c r="O153" s="125">
        <f t="shared" si="389"/>
        <v>46.800000000000004</v>
      </c>
      <c r="P153" s="124">
        <v>0.96</v>
      </c>
      <c r="Q153" s="125">
        <f t="shared" si="377"/>
        <v>116.12903225806451</v>
      </c>
      <c r="R153" s="125">
        <f t="shared" si="390"/>
        <v>86.399999999999991</v>
      </c>
      <c r="S153" s="124">
        <v>0.96</v>
      </c>
      <c r="T153" s="125">
        <f t="shared" si="378"/>
        <v>116.12903225806451</v>
      </c>
      <c r="U153" s="125">
        <f t="shared" si="391"/>
        <v>86.399999999999991</v>
      </c>
      <c r="X153" s="123"/>
      <c r="Y153" s="123"/>
      <c r="Z153" s="124">
        <v>1.28</v>
      </c>
      <c r="AA153" s="125">
        <f t="shared" si="392"/>
        <v>154.83870967741936</v>
      </c>
      <c r="AB153" s="125">
        <f t="shared" si="379"/>
        <v>115.2</v>
      </c>
      <c r="AC153" s="124">
        <v>0.35</v>
      </c>
      <c r="AD153" s="125">
        <f t="shared" si="393"/>
        <v>42.338709677419352</v>
      </c>
      <c r="AE153" s="125">
        <f t="shared" si="380"/>
        <v>31.499999999999996</v>
      </c>
      <c r="AF153" s="124">
        <v>0.85</v>
      </c>
      <c r="AG153" s="125">
        <f t="shared" si="394"/>
        <v>102.8225806451613</v>
      </c>
      <c r="AH153" s="125">
        <f t="shared" si="381"/>
        <v>76.5</v>
      </c>
      <c r="AI153" s="124">
        <v>0.85</v>
      </c>
      <c r="AJ153" s="125">
        <f t="shared" si="395"/>
        <v>102.8225806451613</v>
      </c>
      <c r="AK153" s="125">
        <f t="shared" si="382"/>
        <v>76.5</v>
      </c>
      <c r="AL153" s="162"/>
      <c r="AN153" s="123"/>
      <c r="AO153" s="123"/>
      <c r="AP153" s="124">
        <v>1.06</v>
      </c>
      <c r="AQ153" s="125">
        <f t="shared" si="396"/>
        <v>128.2258064516129</v>
      </c>
      <c r="AR153" s="125">
        <f t="shared" si="383"/>
        <v>95.4</v>
      </c>
      <c r="AS153" s="124">
        <v>0.34</v>
      </c>
      <c r="AT153" s="125">
        <f t="shared" si="397"/>
        <v>41.12903225806452</v>
      </c>
      <c r="AU153" s="125">
        <f t="shared" si="384"/>
        <v>30.6</v>
      </c>
      <c r="AV153" s="124">
        <v>0.67</v>
      </c>
      <c r="AW153" s="125">
        <f t="shared" si="398"/>
        <v>81.048387096774192</v>
      </c>
      <c r="AX153" s="125">
        <f t="shared" si="385"/>
        <v>60.300000000000004</v>
      </c>
      <c r="AY153" s="124">
        <v>0.67</v>
      </c>
      <c r="AZ153" s="125">
        <f t="shared" si="399"/>
        <v>81.048387096774192</v>
      </c>
      <c r="BA153" s="125">
        <f t="shared" si="386"/>
        <v>60.300000000000004</v>
      </c>
      <c r="BD153" s="139">
        <f t="shared" si="400"/>
        <v>139.71774193548387</v>
      </c>
      <c r="BE153" s="139">
        <f t="shared" si="401"/>
        <v>103.95</v>
      </c>
      <c r="BF153" s="139">
        <f t="shared" si="402"/>
        <v>52.016129032258064</v>
      </c>
      <c r="BG153" s="139">
        <f t="shared" si="403"/>
        <v>38.700000000000003</v>
      </c>
      <c r="BH153" s="139">
        <f t="shared" si="404"/>
        <v>98.588709677419359</v>
      </c>
      <c r="BI153" s="139">
        <f t="shared" si="405"/>
        <v>73.349999999999994</v>
      </c>
      <c r="BJ153" s="139">
        <f t="shared" si="406"/>
        <v>98.588709677419359</v>
      </c>
      <c r="BK153" s="139">
        <f t="shared" si="407"/>
        <v>73.349999999999994</v>
      </c>
    </row>
    <row r="154" spans="1:63" ht="14.4">
      <c r="A154" s="126" t="s">
        <v>58</v>
      </c>
      <c r="B154" s="118">
        <v>30</v>
      </c>
      <c r="C154" s="118">
        <f t="shared" si="387"/>
        <v>720</v>
      </c>
      <c r="D154" s="122">
        <f t="shared" si="374"/>
        <v>184.72222222222223</v>
      </c>
      <c r="E154" s="118">
        <v>133</v>
      </c>
      <c r="H154" s="123"/>
      <c r="J154" s="124">
        <v>1.0900000000000001</v>
      </c>
      <c r="K154" s="125">
        <f t="shared" si="375"/>
        <v>201.34722222222226</v>
      </c>
      <c r="L154" s="125">
        <f t="shared" si="388"/>
        <v>144.97</v>
      </c>
      <c r="M154" s="124">
        <v>0.68</v>
      </c>
      <c r="N154" s="125">
        <f t="shared" si="376"/>
        <v>125.61111111111113</v>
      </c>
      <c r="O154" s="125">
        <f t="shared" si="389"/>
        <v>90.440000000000012</v>
      </c>
      <c r="P154" s="124">
        <v>0.94</v>
      </c>
      <c r="Q154" s="125">
        <f t="shared" si="377"/>
        <v>173.63888888888889</v>
      </c>
      <c r="R154" s="125">
        <f t="shared" si="390"/>
        <v>125.02</v>
      </c>
      <c r="S154" s="124">
        <v>0.94</v>
      </c>
      <c r="T154" s="125">
        <f t="shared" si="378"/>
        <v>173.63888888888889</v>
      </c>
      <c r="U154" s="125">
        <f t="shared" si="391"/>
        <v>125.02</v>
      </c>
      <c r="X154" s="123"/>
      <c r="Y154" s="123"/>
      <c r="Z154" s="124">
        <v>0.99</v>
      </c>
      <c r="AA154" s="125">
        <f>Z154*$D154</f>
        <v>182.875</v>
      </c>
      <c r="AB154" s="125">
        <f t="shared" si="379"/>
        <v>131.66999999999999</v>
      </c>
      <c r="AC154" s="124">
        <v>0.34</v>
      </c>
      <c r="AD154" s="125">
        <f>AC154*$D154</f>
        <v>62.805555555555564</v>
      </c>
      <c r="AE154" s="125">
        <f t="shared" si="380"/>
        <v>45.220000000000006</v>
      </c>
      <c r="AF154" s="124">
        <v>0.81</v>
      </c>
      <c r="AG154" s="125">
        <f>AF154*$D154</f>
        <v>149.62500000000003</v>
      </c>
      <c r="AH154" s="125">
        <f t="shared" si="381"/>
        <v>107.73</v>
      </c>
      <c r="AI154" s="124">
        <v>0.81</v>
      </c>
      <c r="AJ154" s="125">
        <f>AI154*$D154</f>
        <v>149.62500000000003</v>
      </c>
      <c r="AK154" s="125">
        <f t="shared" si="382"/>
        <v>107.73</v>
      </c>
      <c r="AL154" s="162"/>
      <c r="AN154" s="123"/>
      <c r="AO154" s="123"/>
      <c r="AP154" s="124">
        <v>0.72</v>
      </c>
      <c r="AQ154" s="125">
        <f>AP154*$D154</f>
        <v>133</v>
      </c>
      <c r="AR154" s="125">
        <f t="shared" si="383"/>
        <v>95.759999999999991</v>
      </c>
      <c r="AS154" s="124">
        <v>0.3</v>
      </c>
      <c r="AT154" s="125">
        <f>AS154*$D154</f>
        <v>55.416666666666664</v>
      </c>
      <c r="AU154" s="125">
        <f t="shared" si="384"/>
        <v>39.9</v>
      </c>
      <c r="AV154" s="124">
        <v>0.59</v>
      </c>
      <c r="AW154" s="125">
        <f>AV154*$D154</f>
        <v>108.98611111111111</v>
      </c>
      <c r="AX154" s="125">
        <f t="shared" si="385"/>
        <v>78.47</v>
      </c>
      <c r="AY154" s="124">
        <v>0.59</v>
      </c>
      <c r="AZ154" s="125">
        <f>AY154*$D154</f>
        <v>108.98611111111111</v>
      </c>
      <c r="BA154" s="125">
        <f t="shared" si="386"/>
        <v>78.47</v>
      </c>
      <c r="BD154" s="139">
        <f t="shared" si="400"/>
        <v>167.17361111111114</v>
      </c>
      <c r="BE154" s="139">
        <f t="shared" si="401"/>
        <v>120.36499999999999</v>
      </c>
      <c r="BF154" s="139">
        <f t="shared" si="402"/>
        <v>90.5138888888889</v>
      </c>
      <c r="BG154" s="139">
        <f t="shared" si="403"/>
        <v>65.17</v>
      </c>
      <c r="BH154" s="139">
        <f t="shared" si="404"/>
        <v>141.3125</v>
      </c>
      <c r="BI154" s="139">
        <f t="shared" si="405"/>
        <v>101.745</v>
      </c>
      <c r="BJ154" s="139">
        <f t="shared" si="406"/>
        <v>141.3125</v>
      </c>
      <c r="BK154" s="139">
        <f t="shared" si="407"/>
        <v>101.745</v>
      </c>
    </row>
    <row r="155" spans="1:63" ht="14.4">
      <c r="A155" s="126" t="s">
        <v>183</v>
      </c>
      <c r="B155" s="118">
        <v>31</v>
      </c>
      <c r="C155" s="118">
        <f t="shared" si="387"/>
        <v>744</v>
      </c>
      <c r="D155" s="122">
        <f t="shared" si="374"/>
        <v>211.02150537634409</v>
      </c>
      <c r="E155" s="118">
        <v>157</v>
      </c>
      <c r="H155" s="123"/>
      <c r="J155" s="124">
        <v>1.01</v>
      </c>
      <c r="K155" s="125">
        <f t="shared" si="375"/>
        <v>213.13172043010755</v>
      </c>
      <c r="L155" s="125">
        <f t="shared" si="388"/>
        <v>158.57</v>
      </c>
      <c r="M155" s="124">
        <v>0.79</v>
      </c>
      <c r="N155" s="125">
        <f t="shared" si="376"/>
        <v>166.70698924731184</v>
      </c>
      <c r="O155" s="125">
        <f t="shared" si="389"/>
        <v>124.03</v>
      </c>
      <c r="P155" s="124">
        <v>0.94</v>
      </c>
      <c r="Q155" s="125">
        <f t="shared" si="377"/>
        <v>198.36021505376343</v>
      </c>
      <c r="R155" s="125">
        <f t="shared" si="390"/>
        <v>147.57999999999998</v>
      </c>
      <c r="S155" s="124">
        <v>0.94</v>
      </c>
      <c r="T155" s="125">
        <f t="shared" si="378"/>
        <v>198.36021505376343</v>
      </c>
      <c r="U155" s="125">
        <f t="shared" si="391"/>
        <v>147.57999999999998</v>
      </c>
      <c r="X155" s="123"/>
      <c r="Y155" s="123"/>
      <c r="Z155" s="124">
        <v>0.84</v>
      </c>
      <c r="AA155" s="125">
        <f t="shared" ref="AA155:AA162" si="408">Z155*$D155</f>
        <v>177.25806451612902</v>
      </c>
      <c r="AB155" s="125">
        <f t="shared" si="379"/>
        <v>131.88</v>
      </c>
      <c r="AC155" s="124">
        <v>0.4</v>
      </c>
      <c r="AD155" s="125">
        <f t="shared" ref="AD155:AD162" si="409">AC155*$D155</f>
        <v>84.408602150537646</v>
      </c>
      <c r="AE155" s="125">
        <f t="shared" si="380"/>
        <v>62.800000000000004</v>
      </c>
      <c r="AF155" s="124">
        <v>0.79</v>
      </c>
      <c r="AG155" s="125">
        <f t="shared" ref="AG155:AG162" si="410">AF155*$D155</f>
        <v>166.70698924731184</v>
      </c>
      <c r="AH155" s="125">
        <f t="shared" si="381"/>
        <v>124.03</v>
      </c>
      <c r="AI155" s="124">
        <v>0.79</v>
      </c>
      <c r="AJ155" s="125">
        <f t="shared" ref="AJ155:AJ162" si="411">AI155*$D155</f>
        <v>166.70698924731184</v>
      </c>
      <c r="AK155" s="125">
        <f t="shared" si="382"/>
        <v>124.03</v>
      </c>
      <c r="AL155" s="162"/>
      <c r="AN155" s="123"/>
      <c r="AO155" s="123"/>
      <c r="AP155" s="124">
        <v>0.55000000000000004</v>
      </c>
      <c r="AQ155" s="125">
        <f t="shared" si="396"/>
        <v>116.06182795698926</v>
      </c>
      <c r="AR155" s="125">
        <f t="shared" si="383"/>
        <v>86.350000000000009</v>
      </c>
      <c r="AS155" s="124">
        <v>0.3</v>
      </c>
      <c r="AT155" s="125">
        <f t="shared" si="397"/>
        <v>63.306451612903224</v>
      </c>
      <c r="AU155" s="125">
        <f t="shared" si="384"/>
        <v>47.1</v>
      </c>
      <c r="AV155" s="124">
        <v>0.56000000000000005</v>
      </c>
      <c r="AW155" s="125">
        <f t="shared" si="398"/>
        <v>118.1720430107527</v>
      </c>
      <c r="AX155" s="125">
        <f t="shared" si="385"/>
        <v>87.92</v>
      </c>
      <c r="AY155" s="124">
        <v>0.56000000000000005</v>
      </c>
      <c r="AZ155" s="125">
        <f t="shared" si="399"/>
        <v>118.1720430107527</v>
      </c>
      <c r="BA155" s="125">
        <f t="shared" si="386"/>
        <v>87.92</v>
      </c>
      <c r="BD155" s="139">
        <f t="shared" si="400"/>
        <v>164.59677419354841</v>
      </c>
      <c r="BE155" s="139">
        <f t="shared" si="401"/>
        <v>122.46000000000001</v>
      </c>
      <c r="BF155" s="139">
        <f t="shared" si="402"/>
        <v>115.00672043010753</v>
      </c>
      <c r="BG155" s="139">
        <f t="shared" si="403"/>
        <v>85.564999999999998</v>
      </c>
      <c r="BH155" s="139">
        <f t="shared" si="404"/>
        <v>158.26612903225805</v>
      </c>
      <c r="BI155" s="139">
        <f t="shared" si="405"/>
        <v>117.75</v>
      </c>
      <c r="BJ155" s="139">
        <f t="shared" si="406"/>
        <v>158.26612903225805</v>
      </c>
      <c r="BK155" s="139">
        <f t="shared" si="407"/>
        <v>117.75</v>
      </c>
    </row>
    <row r="156" spans="1:63" ht="14.4">
      <c r="A156" s="126" t="s">
        <v>184</v>
      </c>
      <c r="B156" s="118">
        <v>30</v>
      </c>
      <c r="C156" s="118">
        <f t="shared" si="387"/>
        <v>720</v>
      </c>
      <c r="D156" s="122">
        <f t="shared" si="374"/>
        <v>231.94444444444446</v>
      </c>
      <c r="E156" s="118">
        <v>167</v>
      </c>
      <c r="H156" s="123"/>
      <c r="I156" s="117" t="s">
        <v>192</v>
      </c>
      <c r="J156" s="124">
        <v>0.97</v>
      </c>
      <c r="K156" s="125">
        <f t="shared" si="375"/>
        <v>224.98611111111111</v>
      </c>
      <c r="L156" s="125">
        <f t="shared" si="388"/>
        <v>161.99</v>
      </c>
      <c r="M156" s="124">
        <v>0.82</v>
      </c>
      <c r="N156" s="125">
        <f t="shared" si="376"/>
        <v>190.19444444444446</v>
      </c>
      <c r="O156" s="125">
        <f t="shared" si="389"/>
        <v>136.94</v>
      </c>
      <c r="P156" s="124">
        <v>0.93</v>
      </c>
      <c r="Q156" s="125">
        <f t="shared" si="377"/>
        <v>215.70833333333334</v>
      </c>
      <c r="R156" s="125">
        <f t="shared" si="390"/>
        <v>155.31</v>
      </c>
      <c r="S156" s="124">
        <v>0.93</v>
      </c>
      <c r="T156" s="125">
        <f t="shared" si="378"/>
        <v>215.70833333333334</v>
      </c>
      <c r="U156" s="125">
        <f t="shared" si="391"/>
        <v>155.31</v>
      </c>
      <c r="W156" s="117" t="s">
        <v>192</v>
      </c>
      <c r="X156" s="123"/>
      <c r="Y156" s="123"/>
      <c r="Z156" s="124">
        <v>0.78</v>
      </c>
      <c r="AA156" s="125">
        <f t="shared" si="408"/>
        <v>180.91666666666669</v>
      </c>
      <c r="AB156" s="125">
        <f t="shared" si="379"/>
        <v>130.26</v>
      </c>
      <c r="AC156" s="124">
        <v>0.45</v>
      </c>
      <c r="AD156" s="125">
        <f t="shared" si="409"/>
        <v>104.37500000000001</v>
      </c>
      <c r="AE156" s="125">
        <f t="shared" si="380"/>
        <v>75.150000000000006</v>
      </c>
      <c r="AF156" s="124">
        <v>0.78</v>
      </c>
      <c r="AG156" s="125">
        <f t="shared" si="410"/>
        <v>180.91666666666669</v>
      </c>
      <c r="AH156" s="125">
        <f t="shared" si="381"/>
        <v>130.26</v>
      </c>
      <c r="AI156" s="124">
        <v>0.78</v>
      </c>
      <c r="AJ156" s="125">
        <f t="shared" si="411"/>
        <v>180.91666666666669</v>
      </c>
      <c r="AK156" s="125">
        <f t="shared" si="382"/>
        <v>130.26</v>
      </c>
      <c r="AL156" s="162"/>
      <c r="AM156" s="117" t="s">
        <v>192</v>
      </c>
      <c r="AN156" s="123"/>
      <c r="AO156" s="123"/>
      <c r="AP156" s="124">
        <v>0.5</v>
      </c>
      <c r="AQ156" s="125">
        <f t="shared" si="396"/>
        <v>115.97222222222223</v>
      </c>
      <c r="AR156" s="125">
        <f t="shared" si="383"/>
        <v>83.5</v>
      </c>
      <c r="AS156" s="124">
        <v>0.32</v>
      </c>
      <c r="AT156" s="125">
        <f t="shared" si="397"/>
        <v>74.222222222222229</v>
      </c>
      <c r="AU156" s="125">
        <f t="shared" si="384"/>
        <v>53.44</v>
      </c>
      <c r="AV156" s="124">
        <v>0.55000000000000004</v>
      </c>
      <c r="AW156" s="125">
        <f t="shared" si="398"/>
        <v>127.56944444444446</v>
      </c>
      <c r="AX156" s="125">
        <f t="shared" si="385"/>
        <v>91.850000000000009</v>
      </c>
      <c r="AY156" s="124">
        <v>0.55000000000000004</v>
      </c>
      <c r="AZ156" s="125">
        <f t="shared" si="399"/>
        <v>127.56944444444446</v>
      </c>
      <c r="BA156" s="125">
        <f t="shared" si="386"/>
        <v>91.850000000000009</v>
      </c>
      <c r="BC156" s="117" t="s">
        <v>192</v>
      </c>
      <c r="BD156" s="139">
        <f t="shared" si="400"/>
        <v>170.47916666666669</v>
      </c>
      <c r="BE156" s="139">
        <f t="shared" si="401"/>
        <v>122.745</v>
      </c>
      <c r="BF156" s="139">
        <f t="shared" si="402"/>
        <v>132.20833333333334</v>
      </c>
      <c r="BG156" s="139">
        <f t="shared" si="403"/>
        <v>95.19</v>
      </c>
      <c r="BH156" s="139">
        <f t="shared" si="404"/>
        <v>171.63888888888891</v>
      </c>
      <c r="BI156" s="139">
        <f t="shared" si="405"/>
        <v>123.58000000000001</v>
      </c>
      <c r="BJ156" s="139">
        <f t="shared" si="406"/>
        <v>171.63888888888891</v>
      </c>
      <c r="BK156" s="139">
        <f>(U156+BA156)/2</f>
        <v>123.58000000000001</v>
      </c>
    </row>
    <row r="157" spans="1:63" ht="14.4">
      <c r="A157" s="126" t="s">
        <v>185</v>
      </c>
      <c r="B157" s="118">
        <v>31</v>
      </c>
      <c r="C157" s="118">
        <f t="shared" si="387"/>
        <v>744</v>
      </c>
      <c r="D157" s="122">
        <f t="shared" si="374"/>
        <v>223.11827956989248</v>
      </c>
      <c r="E157" s="118">
        <v>166</v>
      </c>
      <c r="H157" s="123"/>
      <c r="I157" s="117" t="s">
        <v>243</v>
      </c>
      <c r="J157" s="124">
        <v>0.98</v>
      </c>
      <c r="K157" s="125">
        <f t="shared" si="375"/>
        <v>218.65591397849462</v>
      </c>
      <c r="L157" s="125">
        <f t="shared" si="388"/>
        <v>162.68</v>
      </c>
      <c r="M157" s="124">
        <v>0.81</v>
      </c>
      <c r="N157" s="125">
        <f t="shared" si="376"/>
        <v>180.72580645161293</v>
      </c>
      <c r="O157" s="125">
        <f t="shared" si="389"/>
        <v>134.46</v>
      </c>
      <c r="P157" s="124">
        <v>0.93</v>
      </c>
      <c r="Q157" s="125">
        <f t="shared" si="377"/>
        <v>207.50000000000003</v>
      </c>
      <c r="R157" s="125">
        <f t="shared" si="390"/>
        <v>154.38</v>
      </c>
      <c r="S157" s="124">
        <v>0.93</v>
      </c>
      <c r="T157" s="125">
        <f t="shared" si="378"/>
        <v>207.50000000000003</v>
      </c>
      <c r="U157" s="125">
        <f t="shared" si="391"/>
        <v>154.38</v>
      </c>
      <c r="W157" s="117" t="s">
        <v>243</v>
      </c>
      <c r="X157" s="123"/>
      <c r="Y157" s="123"/>
      <c r="Z157" s="124">
        <v>0.81</v>
      </c>
      <c r="AA157" s="125">
        <f t="shared" si="408"/>
        <v>180.72580645161293</v>
      </c>
      <c r="AB157" s="125">
        <f t="shared" si="379"/>
        <v>134.46</v>
      </c>
      <c r="AC157" s="124">
        <v>0.42</v>
      </c>
      <c r="AD157" s="125">
        <f t="shared" si="409"/>
        <v>93.709677419354833</v>
      </c>
      <c r="AE157" s="125">
        <f t="shared" si="380"/>
        <v>69.72</v>
      </c>
      <c r="AF157" s="124">
        <v>0.78</v>
      </c>
      <c r="AG157" s="125">
        <f t="shared" si="410"/>
        <v>174.03225806451613</v>
      </c>
      <c r="AH157" s="125">
        <f t="shared" si="381"/>
        <v>129.48000000000002</v>
      </c>
      <c r="AI157" s="124">
        <v>0.78</v>
      </c>
      <c r="AJ157" s="125">
        <f t="shared" si="411"/>
        <v>174.03225806451613</v>
      </c>
      <c r="AK157" s="125">
        <f t="shared" si="382"/>
        <v>129.48000000000002</v>
      </c>
      <c r="AL157" s="162"/>
      <c r="AM157" s="117" t="s">
        <v>243</v>
      </c>
      <c r="AN157" s="123"/>
      <c r="AO157" s="123"/>
      <c r="AP157" s="124">
        <v>0.52</v>
      </c>
      <c r="AQ157" s="125">
        <f t="shared" si="396"/>
        <v>116.02150537634409</v>
      </c>
      <c r="AR157" s="125">
        <f t="shared" si="383"/>
        <v>86.320000000000007</v>
      </c>
      <c r="AS157" s="124">
        <v>0.31</v>
      </c>
      <c r="AT157" s="125">
        <f t="shared" si="397"/>
        <v>69.166666666666671</v>
      </c>
      <c r="AU157" s="125">
        <f t="shared" si="384"/>
        <v>51.46</v>
      </c>
      <c r="AV157" s="124">
        <v>0.55000000000000004</v>
      </c>
      <c r="AW157" s="125">
        <f t="shared" si="398"/>
        <v>122.71505376344088</v>
      </c>
      <c r="AX157" s="125">
        <f t="shared" si="385"/>
        <v>91.300000000000011</v>
      </c>
      <c r="AY157" s="124">
        <v>0.55000000000000004</v>
      </c>
      <c r="AZ157" s="125">
        <f t="shared" si="399"/>
        <v>122.71505376344088</v>
      </c>
      <c r="BA157" s="125">
        <f t="shared" si="386"/>
        <v>91.300000000000011</v>
      </c>
      <c r="BC157" s="117" t="s">
        <v>243</v>
      </c>
      <c r="BD157" s="139">
        <f t="shared" si="400"/>
        <v>167.33870967741936</v>
      </c>
      <c r="BE157" s="139">
        <f t="shared" si="401"/>
        <v>124.5</v>
      </c>
      <c r="BF157" s="139">
        <f t="shared" si="402"/>
        <v>124.94623655913981</v>
      </c>
      <c r="BG157" s="139">
        <f t="shared" si="403"/>
        <v>92.960000000000008</v>
      </c>
      <c r="BH157" s="139">
        <f t="shared" si="404"/>
        <v>165.10752688172045</v>
      </c>
      <c r="BI157" s="139">
        <f t="shared" si="405"/>
        <v>122.84</v>
      </c>
      <c r="BJ157" s="139">
        <f t="shared" si="406"/>
        <v>165.10752688172045</v>
      </c>
      <c r="BK157" s="139">
        <f t="shared" ref="BK157:BK158" si="412">(U157+BA157)/2</f>
        <v>122.84</v>
      </c>
    </row>
    <row r="158" spans="1:63" ht="14.4">
      <c r="A158" s="126" t="s">
        <v>186</v>
      </c>
      <c r="B158" s="118">
        <v>31</v>
      </c>
      <c r="C158" s="118">
        <f t="shared" si="387"/>
        <v>744</v>
      </c>
      <c r="D158" s="122">
        <f t="shared" si="374"/>
        <v>194.89247311827958</v>
      </c>
      <c r="E158" s="118">
        <v>145</v>
      </c>
      <c r="H158" s="123"/>
      <c r="J158" s="124">
        <v>1.04</v>
      </c>
      <c r="K158" s="125">
        <f t="shared" si="375"/>
        <v>202.68817204301078</v>
      </c>
      <c r="L158" s="125">
        <f t="shared" si="388"/>
        <v>150.80000000000001</v>
      </c>
      <c r="M158" s="124">
        <v>0.73</v>
      </c>
      <c r="N158" s="125">
        <f t="shared" si="376"/>
        <v>142.27150537634409</v>
      </c>
      <c r="O158" s="125">
        <f t="shared" si="389"/>
        <v>105.85</v>
      </c>
      <c r="P158" s="124">
        <v>0.94</v>
      </c>
      <c r="Q158" s="125">
        <f t="shared" si="377"/>
        <v>183.19892473118279</v>
      </c>
      <c r="R158" s="125">
        <f t="shared" si="390"/>
        <v>136.29999999999998</v>
      </c>
      <c r="S158" s="124">
        <v>0.94</v>
      </c>
      <c r="T158" s="125">
        <f t="shared" si="378"/>
        <v>183.19892473118279</v>
      </c>
      <c r="U158" s="125">
        <f t="shared" si="391"/>
        <v>136.29999999999998</v>
      </c>
      <c r="X158" s="123"/>
      <c r="Y158" s="123"/>
      <c r="Z158" s="124">
        <v>0.91</v>
      </c>
      <c r="AA158" s="125">
        <f t="shared" si="408"/>
        <v>177.35215053763443</v>
      </c>
      <c r="AB158" s="125">
        <f t="shared" si="379"/>
        <v>131.95000000000002</v>
      </c>
      <c r="AC158" s="124">
        <v>0.35</v>
      </c>
      <c r="AD158" s="125">
        <f t="shared" si="409"/>
        <v>68.212365591397855</v>
      </c>
      <c r="AE158" s="125">
        <f t="shared" si="380"/>
        <v>50.75</v>
      </c>
      <c r="AF158" s="124">
        <v>0.79</v>
      </c>
      <c r="AG158" s="125">
        <f t="shared" si="410"/>
        <v>153.96505376344086</v>
      </c>
      <c r="AH158" s="125">
        <f t="shared" si="381"/>
        <v>114.55000000000001</v>
      </c>
      <c r="AI158" s="124">
        <v>0.79</v>
      </c>
      <c r="AJ158" s="125">
        <f t="shared" si="411"/>
        <v>153.96505376344086</v>
      </c>
      <c r="AK158" s="125">
        <f t="shared" si="382"/>
        <v>114.55000000000001</v>
      </c>
      <c r="AL158" s="162"/>
      <c r="AN158" s="123"/>
      <c r="AO158" s="123"/>
      <c r="AP158" s="124">
        <v>0.62</v>
      </c>
      <c r="AQ158" s="125">
        <f t="shared" si="396"/>
        <v>120.83333333333334</v>
      </c>
      <c r="AR158" s="125">
        <f t="shared" si="383"/>
        <v>89.9</v>
      </c>
      <c r="AS158" s="124">
        <v>0.3</v>
      </c>
      <c r="AT158" s="125">
        <f t="shared" si="397"/>
        <v>58.467741935483872</v>
      </c>
      <c r="AU158" s="125">
        <f t="shared" si="384"/>
        <v>43.5</v>
      </c>
      <c r="AV158" s="124">
        <v>0.56999999999999995</v>
      </c>
      <c r="AW158" s="125">
        <f t="shared" si="398"/>
        <v>111.08870967741936</v>
      </c>
      <c r="AX158" s="125">
        <f t="shared" si="385"/>
        <v>82.649999999999991</v>
      </c>
      <c r="AY158" s="124">
        <v>0.56999999999999995</v>
      </c>
      <c r="AZ158" s="125">
        <f t="shared" si="399"/>
        <v>111.08870967741936</v>
      </c>
      <c r="BA158" s="125">
        <f t="shared" si="386"/>
        <v>82.649999999999991</v>
      </c>
      <c r="BD158" s="139">
        <f t="shared" si="400"/>
        <v>161.76075268817206</v>
      </c>
      <c r="BE158" s="139">
        <f>(L158+AR158)/2</f>
        <v>120.35000000000001</v>
      </c>
      <c r="BF158" s="139">
        <f t="shared" si="402"/>
        <v>100.36962365591398</v>
      </c>
      <c r="BG158" s="139">
        <f>(O158+AU158)/2</f>
        <v>74.674999999999997</v>
      </c>
      <c r="BH158" s="139">
        <f t="shared" si="404"/>
        <v>147.14381720430106</v>
      </c>
      <c r="BI158" s="139">
        <f t="shared" si="405"/>
        <v>109.47499999999999</v>
      </c>
      <c r="BJ158" s="139">
        <f t="shared" si="406"/>
        <v>147.14381720430106</v>
      </c>
      <c r="BK158" s="139">
        <f t="shared" si="412"/>
        <v>109.47499999999999</v>
      </c>
    </row>
    <row r="159" spans="1:63" ht="14.4">
      <c r="A159" s="126" t="s">
        <v>187</v>
      </c>
      <c r="B159" s="118">
        <v>30</v>
      </c>
      <c r="C159" s="118">
        <f t="shared" si="387"/>
        <v>720</v>
      </c>
      <c r="D159" s="122">
        <f t="shared" si="374"/>
        <v>155.55555555555554</v>
      </c>
      <c r="E159" s="118">
        <v>112</v>
      </c>
      <c r="H159" s="123"/>
      <c r="J159" s="124">
        <v>1.17</v>
      </c>
      <c r="K159" s="125">
        <f t="shared" si="375"/>
        <v>181.99999999999997</v>
      </c>
      <c r="L159" s="125">
        <f t="shared" si="388"/>
        <v>131.04</v>
      </c>
      <c r="M159" s="124">
        <v>0.59</v>
      </c>
      <c r="N159" s="125">
        <f t="shared" si="376"/>
        <v>91.777777777777771</v>
      </c>
      <c r="O159" s="125">
        <f t="shared" si="389"/>
        <v>66.08</v>
      </c>
      <c r="P159" s="124">
        <v>0.95</v>
      </c>
      <c r="Q159" s="125">
        <f t="shared" si="377"/>
        <v>147.77777777777777</v>
      </c>
      <c r="R159" s="125">
        <f t="shared" si="390"/>
        <v>106.39999999999999</v>
      </c>
      <c r="S159" s="124">
        <v>0.95</v>
      </c>
      <c r="T159" s="125">
        <f t="shared" si="378"/>
        <v>147.77777777777777</v>
      </c>
      <c r="U159" s="125">
        <f t="shared" si="391"/>
        <v>106.39999999999999</v>
      </c>
      <c r="X159" s="123"/>
      <c r="Y159" s="123"/>
      <c r="Z159" s="124">
        <v>1.1100000000000001</v>
      </c>
      <c r="AA159" s="125">
        <f t="shared" si="408"/>
        <v>172.66666666666666</v>
      </c>
      <c r="AB159" s="125">
        <f t="shared" si="379"/>
        <v>124.32000000000001</v>
      </c>
      <c r="AC159" s="124">
        <v>0.31</v>
      </c>
      <c r="AD159" s="125">
        <f t="shared" si="409"/>
        <v>48.222222222222221</v>
      </c>
      <c r="AE159" s="125">
        <f t="shared" si="380"/>
        <v>34.72</v>
      </c>
      <c r="AF159" s="124">
        <v>0.81</v>
      </c>
      <c r="AG159" s="125">
        <f t="shared" si="410"/>
        <v>126</v>
      </c>
      <c r="AH159" s="125">
        <f t="shared" si="381"/>
        <v>90.72</v>
      </c>
      <c r="AI159" s="124">
        <v>0.81</v>
      </c>
      <c r="AJ159" s="125">
        <f t="shared" si="411"/>
        <v>126</v>
      </c>
      <c r="AK159" s="125">
        <f t="shared" si="382"/>
        <v>90.72</v>
      </c>
      <c r="AL159" s="162"/>
      <c r="AN159" s="123"/>
      <c r="AO159" s="123"/>
      <c r="AP159" s="124">
        <v>0.85</v>
      </c>
      <c r="AQ159" s="125">
        <f t="shared" si="396"/>
        <v>132.2222222222222</v>
      </c>
      <c r="AR159" s="125">
        <f t="shared" si="383"/>
        <v>95.2</v>
      </c>
      <c r="AS159" s="124">
        <v>0.28000000000000003</v>
      </c>
      <c r="AT159" s="125">
        <f t="shared" si="397"/>
        <v>43.555555555555557</v>
      </c>
      <c r="AU159" s="125">
        <f t="shared" si="384"/>
        <v>31.360000000000003</v>
      </c>
      <c r="AV159" s="124">
        <v>0.6</v>
      </c>
      <c r="AW159" s="125">
        <f t="shared" si="398"/>
        <v>93.333333333333329</v>
      </c>
      <c r="AX159" s="125">
        <f t="shared" si="385"/>
        <v>67.2</v>
      </c>
      <c r="AY159" s="124">
        <v>0.6</v>
      </c>
      <c r="AZ159" s="125">
        <f t="shared" si="399"/>
        <v>93.333333333333329</v>
      </c>
      <c r="BA159" s="125">
        <f t="shared" si="386"/>
        <v>67.2</v>
      </c>
      <c r="BD159" s="139">
        <f t="shared" si="400"/>
        <v>157.11111111111109</v>
      </c>
      <c r="BE159" s="139">
        <f t="shared" ref="BE159:BE162" si="413">(L159+AR159)/2</f>
        <v>113.12</v>
      </c>
      <c r="BF159" s="139">
        <f t="shared" si="402"/>
        <v>67.666666666666657</v>
      </c>
      <c r="BG159" s="139">
        <f t="shared" ref="BG159:BG162" si="414">(O159+AU159)/2</f>
        <v>48.72</v>
      </c>
      <c r="BH159" s="139">
        <f t="shared" si="404"/>
        <v>120.55555555555554</v>
      </c>
      <c r="BI159" s="139">
        <f t="shared" si="405"/>
        <v>86.8</v>
      </c>
      <c r="BJ159" s="139">
        <f t="shared" si="406"/>
        <v>120.55555555555554</v>
      </c>
      <c r="BK159" s="139">
        <f>(U159+BA159)/2</f>
        <v>86.8</v>
      </c>
    </row>
    <row r="160" spans="1:63" ht="14.4">
      <c r="A160" s="126" t="s">
        <v>59</v>
      </c>
      <c r="B160" s="118">
        <v>31</v>
      </c>
      <c r="C160" s="118">
        <f t="shared" si="387"/>
        <v>744</v>
      </c>
      <c r="D160" s="122">
        <f t="shared" si="374"/>
        <v>87.365591397849457</v>
      </c>
      <c r="E160" s="118">
        <v>65</v>
      </c>
      <c r="H160" s="123"/>
      <c r="J160" s="124">
        <v>1.33</v>
      </c>
      <c r="K160" s="125">
        <f t="shared" si="375"/>
        <v>116.19623655913978</v>
      </c>
      <c r="L160" s="125">
        <f t="shared" si="388"/>
        <v>86.45</v>
      </c>
      <c r="M160" s="124">
        <v>0.45</v>
      </c>
      <c r="N160" s="125">
        <f t="shared" si="376"/>
        <v>39.314516129032256</v>
      </c>
      <c r="O160" s="125">
        <f t="shared" si="389"/>
        <v>29.25</v>
      </c>
      <c r="P160" s="124">
        <v>0.96</v>
      </c>
      <c r="Q160" s="125">
        <f t="shared" si="377"/>
        <v>83.870967741935473</v>
      </c>
      <c r="R160" s="125">
        <f t="shared" si="390"/>
        <v>62.4</v>
      </c>
      <c r="S160" s="124">
        <v>0.96</v>
      </c>
      <c r="T160" s="125">
        <f t="shared" si="378"/>
        <v>83.870967741935473</v>
      </c>
      <c r="U160" s="125">
        <f t="shared" si="391"/>
        <v>62.4</v>
      </c>
      <c r="X160" s="123"/>
      <c r="Y160" s="123"/>
      <c r="Z160" s="124">
        <v>1.4</v>
      </c>
      <c r="AA160" s="125">
        <f t="shared" si="408"/>
        <v>122.31182795698923</v>
      </c>
      <c r="AB160" s="125">
        <f t="shared" si="379"/>
        <v>91</v>
      </c>
      <c r="AC160" s="124">
        <v>0.34</v>
      </c>
      <c r="AD160" s="125">
        <f t="shared" si="409"/>
        <v>29.704301075268816</v>
      </c>
      <c r="AE160" s="125">
        <f t="shared" si="380"/>
        <v>22.1</v>
      </c>
      <c r="AF160" s="124">
        <v>0.84</v>
      </c>
      <c r="AG160" s="125">
        <f t="shared" si="410"/>
        <v>73.387096774193537</v>
      </c>
      <c r="AH160" s="125">
        <f t="shared" si="381"/>
        <v>54.6</v>
      </c>
      <c r="AI160" s="124">
        <v>0.84</v>
      </c>
      <c r="AJ160" s="125">
        <f t="shared" si="411"/>
        <v>73.387096774193537</v>
      </c>
      <c r="AK160" s="125">
        <f t="shared" si="382"/>
        <v>54.6</v>
      </c>
      <c r="AL160" s="162"/>
      <c r="AN160" s="123"/>
      <c r="AO160" s="123"/>
      <c r="AP160" s="124">
        <v>1.19</v>
      </c>
      <c r="AQ160" s="125">
        <f t="shared" si="396"/>
        <v>103.96505376344085</v>
      </c>
      <c r="AR160" s="125">
        <f t="shared" si="383"/>
        <v>77.349999999999994</v>
      </c>
      <c r="AS160" s="124">
        <v>0.3</v>
      </c>
      <c r="AT160" s="125">
        <f t="shared" si="397"/>
        <v>26.209677419354836</v>
      </c>
      <c r="AU160" s="125">
        <f t="shared" si="384"/>
        <v>19.5</v>
      </c>
      <c r="AV160" s="124">
        <v>0.63</v>
      </c>
      <c r="AW160" s="125">
        <f t="shared" si="398"/>
        <v>55.04032258064516</v>
      </c>
      <c r="AX160" s="125">
        <f t="shared" si="385"/>
        <v>40.950000000000003</v>
      </c>
      <c r="AY160" s="124">
        <v>0.63</v>
      </c>
      <c r="AZ160" s="125">
        <f t="shared" si="399"/>
        <v>55.04032258064516</v>
      </c>
      <c r="BA160" s="125">
        <f t="shared" si="386"/>
        <v>40.950000000000003</v>
      </c>
      <c r="BD160" s="139">
        <f t="shared" si="400"/>
        <v>110.08064516129031</v>
      </c>
      <c r="BE160" s="139">
        <f t="shared" si="413"/>
        <v>81.900000000000006</v>
      </c>
      <c r="BF160" s="139">
        <f t="shared" si="402"/>
        <v>32.762096774193544</v>
      </c>
      <c r="BG160" s="139">
        <f t="shared" si="414"/>
        <v>24.375</v>
      </c>
      <c r="BH160" s="139">
        <f t="shared" si="404"/>
        <v>69.45564516129032</v>
      </c>
      <c r="BI160" s="139">
        <f t="shared" si="405"/>
        <v>51.674999999999997</v>
      </c>
      <c r="BJ160" s="139">
        <f t="shared" si="406"/>
        <v>69.45564516129032</v>
      </c>
      <c r="BK160" s="139">
        <f t="shared" ref="BK160:BK162" si="415">(U160+BA160)/2</f>
        <v>51.674999999999997</v>
      </c>
    </row>
    <row r="161" spans="1:63" ht="14.4">
      <c r="A161" s="126" t="s">
        <v>60</v>
      </c>
      <c r="B161" s="118">
        <v>30</v>
      </c>
      <c r="C161" s="118">
        <f t="shared" si="387"/>
        <v>720</v>
      </c>
      <c r="D161" s="122">
        <f t="shared" si="374"/>
        <v>45.833333333333336</v>
      </c>
      <c r="E161" s="118">
        <v>33</v>
      </c>
      <c r="H161" s="123"/>
      <c r="J161" s="124">
        <v>1.52</v>
      </c>
      <c r="K161" s="125">
        <f t="shared" si="375"/>
        <v>69.666666666666671</v>
      </c>
      <c r="L161" s="125">
        <f t="shared" si="388"/>
        <v>50.160000000000004</v>
      </c>
      <c r="M161" s="124">
        <v>0.47</v>
      </c>
      <c r="N161" s="125">
        <f t="shared" si="376"/>
        <v>21.541666666666668</v>
      </c>
      <c r="O161" s="125">
        <f t="shared" si="389"/>
        <v>15.51</v>
      </c>
      <c r="P161" s="124">
        <v>0.97</v>
      </c>
      <c r="Q161" s="125">
        <f t="shared" si="377"/>
        <v>44.458333333333336</v>
      </c>
      <c r="R161" s="125">
        <f t="shared" si="390"/>
        <v>32.01</v>
      </c>
      <c r="S161" s="124">
        <v>0.97</v>
      </c>
      <c r="T161" s="125">
        <f t="shared" si="378"/>
        <v>44.458333333333336</v>
      </c>
      <c r="U161" s="125">
        <f t="shared" si="391"/>
        <v>32.01</v>
      </c>
      <c r="X161" s="123"/>
      <c r="Y161" s="123"/>
      <c r="Z161" s="124">
        <v>1.75</v>
      </c>
      <c r="AA161" s="125">
        <f t="shared" si="408"/>
        <v>80.208333333333343</v>
      </c>
      <c r="AB161" s="125">
        <f t="shared" si="379"/>
        <v>57.75</v>
      </c>
      <c r="AC161" s="124">
        <v>0.4</v>
      </c>
      <c r="AD161" s="125">
        <f t="shared" si="409"/>
        <v>18.333333333333336</v>
      </c>
      <c r="AE161" s="125">
        <f t="shared" si="380"/>
        <v>13.200000000000001</v>
      </c>
      <c r="AF161" s="124">
        <v>0.86</v>
      </c>
      <c r="AG161" s="125">
        <f t="shared" si="410"/>
        <v>39.416666666666671</v>
      </c>
      <c r="AH161" s="125">
        <f t="shared" si="381"/>
        <v>28.38</v>
      </c>
      <c r="AI161" s="124">
        <v>0.86</v>
      </c>
      <c r="AJ161" s="125">
        <f t="shared" si="411"/>
        <v>39.416666666666671</v>
      </c>
      <c r="AK161" s="125">
        <f t="shared" si="382"/>
        <v>28.38</v>
      </c>
      <c r="AL161" s="162"/>
      <c r="AN161" s="123"/>
      <c r="AO161" s="123"/>
      <c r="AP161" s="124">
        <v>1.62</v>
      </c>
      <c r="AQ161" s="125">
        <f t="shared" si="396"/>
        <v>74.250000000000014</v>
      </c>
      <c r="AR161" s="125">
        <f t="shared" si="383"/>
        <v>53.46</v>
      </c>
      <c r="AS161" s="124">
        <v>0.37</v>
      </c>
      <c r="AT161" s="125">
        <f t="shared" si="397"/>
        <v>16.958333333333336</v>
      </c>
      <c r="AU161" s="125">
        <f t="shared" si="384"/>
        <v>12.209999999999999</v>
      </c>
      <c r="AV161" s="124">
        <v>0.65</v>
      </c>
      <c r="AW161" s="125">
        <f t="shared" si="398"/>
        <v>29.791666666666668</v>
      </c>
      <c r="AX161" s="125">
        <f t="shared" si="385"/>
        <v>21.45</v>
      </c>
      <c r="AY161" s="124">
        <v>0.65</v>
      </c>
      <c r="AZ161" s="125">
        <f t="shared" si="399"/>
        <v>29.791666666666668</v>
      </c>
      <c r="BA161" s="125">
        <f t="shared" si="386"/>
        <v>21.45</v>
      </c>
      <c r="BD161" s="139">
        <f t="shared" si="400"/>
        <v>71.958333333333343</v>
      </c>
      <c r="BE161" s="139">
        <f t="shared" si="413"/>
        <v>51.81</v>
      </c>
      <c r="BF161" s="139">
        <f t="shared" si="402"/>
        <v>19.25</v>
      </c>
      <c r="BG161" s="139">
        <f t="shared" si="414"/>
        <v>13.86</v>
      </c>
      <c r="BH161" s="139">
        <f t="shared" si="404"/>
        <v>37.125</v>
      </c>
      <c r="BI161" s="139">
        <f t="shared" si="405"/>
        <v>26.729999999999997</v>
      </c>
      <c r="BJ161" s="139">
        <f t="shared" si="406"/>
        <v>37.125</v>
      </c>
      <c r="BK161" s="139">
        <f t="shared" si="415"/>
        <v>26.729999999999997</v>
      </c>
    </row>
    <row r="162" spans="1:63" ht="15" thickBot="1">
      <c r="A162" s="127" t="s">
        <v>61</v>
      </c>
      <c r="B162" s="118">
        <v>31</v>
      </c>
      <c r="C162" s="118">
        <f t="shared" si="387"/>
        <v>744</v>
      </c>
      <c r="D162" s="122">
        <f t="shared" si="374"/>
        <v>29.56989247311828</v>
      </c>
      <c r="E162" s="118">
        <v>22</v>
      </c>
      <c r="H162" s="123"/>
      <c r="J162" s="124">
        <v>1.76</v>
      </c>
      <c r="K162" s="125">
        <f t="shared" si="375"/>
        <v>52.043010752688176</v>
      </c>
      <c r="L162" s="125">
        <f t="shared" si="388"/>
        <v>38.72</v>
      </c>
      <c r="M162" s="124">
        <v>0.48</v>
      </c>
      <c r="N162" s="125">
        <f t="shared" si="376"/>
        <v>14.193548387096774</v>
      </c>
      <c r="O162" s="125">
        <f t="shared" si="389"/>
        <v>10.559999999999999</v>
      </c>
      <c r="P162" s="124">
        <v>0.99</v>
      </c>
      <c r="Q162" s="125">
        <f t="shared" si="377"/>
        <v>29.274193548387096</v>
      </c>
      <c r="R162" s="125">
        <f t="shared" si="390"/>
        <v>21.78</v>
      </c>
      <c r="S162" s="124">
        <v>0.99</v>
      </c>
      <c r="T162" s="125">
        <f t="shared" si="378"/>
        <v>29.274193548387096</v>
      </c>
      <c r="U162" s="125">
        <f t="shared" si="391"/>
        <v>21.78</v>
      </c>
      <c r="X162" s="123"/>
      <c r="Y162" s="123"/>
      <c r="Z162" s="124">
        <v>2.15</v>
      </c>
      <c r="AA162" s="125">
        <f t="shared" si="408"/>
        <v>63.575268817204297</v>
      </c>
      <c r="AB162" s="125">
        <f t="shared" si="379"/>
        <v>47.3</v>
      </c>
      <c r="AC162" s="124">
        <v>0.46</v>
      </c>
      <c r="AD162" s="125">
        <f t="shared" si="409"/>
        <v>13.60215053763441</v>
      </c>
      <c r="AE162" s="125">
        <f t="shared" si="380"/>
        <v>10.120000000000001</v>
      </c>
      <c r="AF162" s="124">
        <v>0.9</v>
      </c>
      <c r="AG162" s="125">
        <f t="shared" si="410"/>
        <v>26.612903225806452</v>
      </c>
      <c r="AH162" s="125">
        <f t="shared" si="381"/>
        <v>19.8</v>
      </c>
      <c r="AI162" s="124">
        <v>0.9</v>
      </c>
      <c r="AJ162" s="125">
        <f t="shared" si="411"/>
        <v>26.612903225806452</v>
      </c>
      <c r="AK162" s="125">
        <f t="shared" si="382"/>
        <v>19.8</v>
      </c>
      <c r="AL162" s="162"/>
      <c r="AN162" s="123"/>
      <c r="AO162" s="123"/>
      <c r="AP162" s="124">
        <v>2.19</v>
      </c>
      <c r="AQ162" s="125">
        <f t="shared" si="396"/>
        <v>64.758064516129025</v>
      </c>
      <c r="AR162" s="125">
        <f t="shared" si="383"/>
        <v>48.18</v>
      </c>
      <c r="AS162" s="124">
        <v>0.46</v>
      </c>
      <c r="AT162" s="125">
        <f t="shared" si="397"/>
        <v>13.60215053763441</v>
      </c>
      <c r="AU162" s="125">
        <f t="shared" si="384"/>
        <v>10.120000000000001</v>
      </c>
      <c r="AV162" s="124">
        <v>0.77</v>
      </c>
      <c r="AW162" s="125">
        <f t="shared" si="398"/>
        <v>22.768817204301076</v>
      </c>
      <c r="AX162" s="125">
        <f t="shared" si="385"/>
        <v>16.940000000000001</v>
      </c>
      <c r="AY162" s="124">
        <v>0.77</v>
      </c>
      <c r="AZ162" s="125">
        <f t="shared" si="399"/>
        <v>22.768817204301076</v>
      </c>
      <c r="BA162" s="125">
        <f t="shared" si="386"/>
        <v>16.940000000000001</v>
      </c>
      <c r="BD162" s="139">
        <f t="shared" si="400"/>
        <v>58.4005376344086</v>
      </c>
      <c r="BE162" s="139">
        <f t="shared" si="413"/>
        <v>43.45</v>
      </c>
      <c r="BF162" s="139">
        <f t="shared" si="402"/>
        <v>13.897849462365592</v>
      </c>
      <c r="BG162" s="139">
        <f t="shared" si="414"/>
        <v>10.34</v>
      </c>
      <c r="BH162" s="139">
        <f t="shared" si="404"/>
        <v>26.021505376344088</v>
      </c>
      <c r="BI162" s="139">
        <f t="shared" si="405"/>
        <v>19.36</v>
      </c>
      <c r="BJ162" s="139">
        <f t="shared" si="406"/>
        <v>26.021505376344088</v>
      </c>
      <c r="BK162" s="139">
        <f t="shared" si="415"/>
        <v>19.36</v>
      </c>
    </row>
    <row r="164" spans="1:63">
      <c r="A164" s="128" t="s">
        <v>201</v>
      </c>
      <c r="B164" s="120" t="s">
        <v>172</v>
      </c>
      <c r="C164" s="120" t="s">
        <v>173</v>
      </c>
      <c r="E164" s="120" t="s">
        <v>174</v>
      </c>
      <c r="F164" s="120"/>
      <c r="G164" s="120"/>
      <c r="J164" s="305" t="s">
        <v>177</v>
      </c>
      <c r="K164" s="306"/>
      <c r="L164" s="307"/>
      <c r="M164" s="305" t="s">
        <v>178</v>
      </c>
      <c r="N164" s="306"/>
      <c r="O164" s="307"/>
      <c r="P164" s="305" t="s">
        <v>179</v>
      </c>
      <c r="Q164" s="306"/>
      <c r="R164" s="306"/>
      <c r="S164" s="308" t="s">
        <v>180</v>
      </c>
      <c r="T164" s="308"/>
      <c r="U164" s="308"/>
      <c r="Z164" s="305" t="s">
        <v>177</v>
      </c>
      <c r="AA164" s="306"/>
      <c r="AB164" s="307"/>
      <c r="AC164" s="305" t="s">
        <v>178</v>
      </c>
      <c r="AD164" s="306"/>
      <c r="AE164" s="307"/>
      <c r="AF164" s="305" t="s">
        <v>179</v>
      </c>
      <c r="AG164" s="306"/>
      <c r="AH164" s="306"/>
      <c r="AI164" s="308" t="s">
        <v>180</v>
      </c>
      <c r="AJ164" s="308"/>
      <c r="AK164" s="308"/>
      <c r="AL164" s="128"/>
      <c r="AP164" s="305" t="s">
        <v>177</v>
      </c>
      <c r="AQ164" s="306"/>
      <c r="AR164" s="307"/>
      <c r="AS164" s="305" t="s">
        <v>178</v>
      </c>
      <c r="AT164" s="306"/>
      <c r="AU164" s="307"/>
      <c r="AV164" s="305" t="s">
        <v>179</v>
      </c>
      <c r="AW164" s="306"/>
      <c r="AX164" s="306"/>
      <c r="AY164" s="308" t="s">
        <v>180</v>
      </c>
      <c r="AZ164" s="308"/>
      <c r="BA164" s="308"/>
      <c r="BD164" s="310" t="s">
        <v>177</v>
      </c>
      <c r="BE164" s="311"/>
      <c r="BF164" s="310" t="s">
        <v>178</v>
      </c>
      <c r="BG164" s="311"/>
      <c r="BH164" s="310" t="s">
        <v>181</v>
      </c>
      <c r="BI164" s="311"/>
      <c r="BJ164" s="308" t="s">
        <v>180</v>
      </c>
      <c r="BK164" s="308"/>
    </row>
    <row r="165" spans="1:63" ht="13.8" thickBot="1">
      <c r="D165" s="118" t="s">
        <v>176</v>
      </c>
      <c r="E165" s="118" t="s">
        <v>175</v>
      </c>
      <c r="J165" s="117" t="s">
        <v>205</v>
      </c>
      <c r="K165" s="117" t="s">
        <v>176</v>
      </c>
      <c r="L165" s="117" t="s">
        <v>175</v>
      </c>
      <c r="M165" s="117" t="s">
        <v>205</v>
      </c>
      <c r="N165" s="117" t="s">
        <v>176</v>
      </c>
      <c r="O165" s="117" t="s">
        <v>175</v>
      </c>
      <c r="P165" s="117" t="s">
        <v>205</v>
      </c>
      <c r="Q165" s="117" t="s">
        <v>176</v>
      </c>
      <c r="R165" s="117" t="s">
        <v>175</v>
      </c>
      <c r="S165" s="137" t="s">
        <v>205</v>
      </c>
      <c r="T165" s="137" t="s">
        <v>176</v>
      </c>
      <c r="U165" s="137" t="s">
        <v>175</v>
      </c>
      <c r="Z165" s="117" t="s">
        <v>205</v>
      </c>
      <c r="AA165" s="117" t="s">
        <v>176</v>
      </c>
      <c r="AB165" s="117" t="s">
        <v>175</v>
      </c>
      <c r="AC165" s="117" t="s">
        <v>205</v>
      </c>
      <c r="AD165" s="117" t="s">
        <v>176</v>
      </c>
      <c r="AE165" s="117" t="s">
        <v>175</v>
      </c>
      <c r="AF165" s="117" t="s">
        <v>205</v>
      </c>
      <c r="AG165" s="117" t="s">
        <v>176</v>
      </c>
      <c r="AH165" s="117" t="s">
        <v>175</v>
      </c>
      <c r="AI165" s="137" t="s">
        <v>205</v>
      </c>
      <c r="AJ165" s="137" t="s">
        <v>176</v>
      </c>
      <c r="AK165" s="137" t="s">
        <v>175</v>
      </c>
      <c r="AP165" s="117" t="s">
        <v>205</v>
      </c>
      <c r="AQ165" s="117" t="s">
        <v>176</v>
      </c>
      <c r="AR165" s="117" t="s">
        <v>175</v>
      </c>
      <c r="AS165" s="117" t="s">
        <v>205</v>
      </c>
      <c r="AT165" s="117" t="s">
        <v>176</v>
      </c>
      <c r="AU165" s="117" t="s">
        <v>175</v>
      </c>
      <c r="AV165" s="117" t="s">
        <v>205</v>
      </c>
      <c r="AW165" s="117" t="s">
        <v>176</v>
      </c>
      <c r="AX165" s="117" t="s">
        <v>175</v>
      </c>
      <c r="AY165" s="137" t="s">
        <v>205</v>
      </c>
      <c r="AZ165" s="137" t="s">
        <v>176</v>
      </c>
      <c r="BA165" s="137" t="s">
        <v>175</v>
      </c>
      <c r="BD165" s="137" t="s">
        <v>176</v>
      </c>
      <c r="BE165" s="137" t="s">
        <v>175</v>
      </c>
      <c r="BF165" s="137" t="s">
        <v>176</v>
      </c>
      <c r="BG165" s="137" t="s">
        <v>175</v>
      </c>
      <c r="BH165" s="137" t="s">
        <v>176</v>
      </c>
      <c r="BI165" s="137" t="s">
        <v>175</v>
      </c>
      <c r="BJ165" s="137" t="s">
        <v>176</v>
      </c>
      <c r="BK165" s="137" t="s">
        <v>175</v>
      </c>
    </row>
    <row r="166" spans="1:63" ht="14.4">
      <c r="A166" s="121" t="s">
        <v>55</v>
      </c>
      <c r="B166" s="118">
        <v>31</v>
      </c>
      <c r="C166" s="118">
        <f>B166*24</f>
        <v>744</v>
      </c>
      <c r="D166" s="122">
        <f t="shared" ref="D166:D177" si="416">E166*1000/C166</f>
        <v>36.29032258064516</v>
      </c>
      <c r="E166" s="118">
        <v>27</v>
      </c>
      <c r="H166" s="123"/>
      <c r="J166" s="124">
        <v>1.62</v>
      </c>
      <c r="K166" s="125">
        <f>J166*D166</f>
        <v>58.79032258064516</v>
      </c>
      <c r="L166" s="125">
        <f>$E166*J166</f>
        <v>43.74</v>
      </c>
      <c r="M166" s="124">
        <v>0.5</v>
      </c>
      <c r="N166" s="125">
        <f t="shared" ref="N166:N177" si="417">M166*D166</f>
        <v>18.14516129032258</v>
      </c>
      <c r="O166" s="125">
        <f>$E166*M166</f>
        <v>13.5</v>
      </c>
      <c r="P166" s="124">
        <v>1</v>
      </c>
      <c r="Q166" s="125">
        <f t="shared" ref="Q166:Q177" si="418">P166*D166</f>
        <v>36.29032258064516</v>
      </c>
      <c r="R166" s="125">
        <f>$E166*P166</f>
        <v>27</v>
      </c>
      <c r="S166" s="124">
        <v>1</v>
      </c>
      <c r="T166" s="125">
        <f t="shared" ref="T166:T177" si="419">S166*D166</f>
        <v>36.29032258064516</v>
      </c>
      <c r="U166" s="125">
        <f>$E166*S166</f>
        <v>27</v>
      </c>
      <c r="X166" s="123"/>
      <c r="Y166" s="123"/>
      <c r="Z166" s="124">
        <v>1.96</v>
      </c>
      <c r="AA166" s="125">
        <f>Z166*$D166</f>
        <v>71.129032258064512</v>
      </c>
      <c r="AB166" s="125">
        <f t="shared" ref="AB166:AB177" si="420">$E166*Z166</f>
        <v>52.92</v>
      </c>
      <c r="AC166" s="124">
        <v>0.49</v>
      </c>
      <c r="AD166" s="125">
        <f>AC166*$D166</f>
        <v>17.782258064516128</v>
      </c>
      <c r="AE166" s="125">
        <f t="shared" ref="AE166:AE177" si="421">$E166*AC166</f>
        <v>13.23</v>
      </c>
      <c r="AF166" s="124">
        <v>0.95</v>
      </c>
      <c r="AG166" s="125">
        <f>AF166*$D166</f>
        <v>34.475806451612904</v>
      </c>
      <c r="AH166" s="125">
        <f t="shared" ref="AH166:AH177" si="422">$E166*AF166</f>
        <v>25.65</v>
      </c>
      <c r="AI166" s="124">
        <v>0.95</v>
      </c>
      <c r="AJ166" s="125">
        <f>AI166*$D166</f>
        <v>34.475806451612904</v>
      </c>
      <c r="AK166" s="125">
        <f t="shared" ref="AK166:AK177" si="423">$E166*AI166</f>
        <v>25.65</v>
      </c>
      <c r="AL166" s="162"/>
      <c r="AN166" s="123"/>
      <c r="AO166" s="123"/>
      <c r="AP166" s="124">
        <v>1.94</v>
      </c>
      <c r="AQ166" s="125">
        <f>AP166*$D166</f>
        <v>70.403225806451616</v>
      </c>
      <c r="AR166" s="125">
        <f t="shared" ref="AR166:AR177" si="424">$E166*AP166</f>
        <v>52.379999999999995</v>
      </c>
      <c r="AS166" s="124">
        <v>0.53</v>
      </c>
      <c r="AT166" s="125">
        <f>AS166*$D166</f>
        <v>19.233870967741936</v>
      </c>
      <c r="AU166" s="125">
        <f t="shared" ref="AU166:AU177" si="425">$E166*AS166</f>
        <v>14.31</v>
      </c>
      <c r="AV166" s="124">
        <v>0.85</v>
      </c>
      <c r="AW166" s="125">
        <f>AV166*$D166</f>
        <v>30.846774193548384</v>
      </c>
      <c r="AX166" s="125">
        <f t="shared" ref="AX166:AX177" si="426">$E166*AV166</f>
        <v>22.95</v>
      </c>
      <c r="AY166" s="124">
        <v>0.85</v>
      </c>
      <c r="AZ166" s="125">
        <f>AY166*$D166</f>
        <v>30.846774193548384</v>
      </c>
      <c r="BA166" s="125">
        <f t="shared" ref="BA166:BA177" si="427">$E166*AY166</f>
        <v>22.95</v>
      </c>
      <c r="BD166" s="139">
        <f>(K166+AQ166)/2</f>
        <v>64.596774193548384</v>
      </c>
      <c r="BE166" s="139">
        <f>(L166+AR166)/2</f>
        <v>48.06</v>
      </c>
      <c r="BF166" s="139">
        <f>(N166+AT166)/2</f>
        <v>18.689516129032256</v>
      </c>
      <c r="BG166" s="139">
        <f>(O166+AU166)/2</f>
        <v>13.905000000000001</v>
      </c>
      <c r="BH166" s="139">
        <f>(Q166+AW166)/2</f>
        <v>33.568548387096769</v>
      </c>
      <c r="BI166" s="139">
        <f>(R166+AX166)/2</f>
        <v>24.975000000000001</v>
      </c>
      <c r="BJ166" s="139">
        <f>(T166+AZ166)/2</f>
        <v>33.568548387096769</v>
      </c>
      <c r="BK166" s="139">
        <f>(U166+BA166)/2</f>
        <v>24.975000000000001</v>
      </c>
    </row>
    <row r="167" spans="1:63" ht="14.4">
      <c r="A167" s="126" t="s">
        <v>56</v>
      </c>
      <c r="B167" s="118">
        <v>28</v>
      </c>
      <c r="C167" s="118">
        <f t="shared" ref="C167:C177" si="428">B167*24</f>
        <v>672</v>
      </c>
      <c r="D167" s="122">
        <f t="shared" si="416"/>
        <v>74.404761904761898</v>
      </c>
      <c r="E167" s="118">
        <v>50</v>
      </c>
      <c r="H167" s="123"/>
      <c r="J167" s="124">
        <v>1.46</v>
      </c>
      <c r="K167" s="125">
        <f t="shared" ref="K167:K177" si="429">J167*D167</f>
        <v>108.63095238095237</v>
      </c>
      <c r="L167" s="125">
        <f t="shared" ref="L167:L177" si="430">$E167*J167</f>
        <v>73</v>
      </c>
      <c r="M167" s="124">
        <v>0.43</v>
      </c>
      <c r="N167" s="125">
        <f t="shared" si="417"/>
        <v>31.994047619047617</v>
      </c>
      <c r="O167" s="125">
        <f t="shared" ref="O167:O177" si="431">$E167*M167</f>
        <v>21.5</v>
      </c>
      <c r="P167" s="124">
        <v>0.99</v>
      </c>
      <c r="Q167" s="125">
        <f t="shared" si="418"/>
        <v>73.660714285714278</v>
      </c>
      <c r="R167" s="125">
        <f t="shared" ref="R167:R177" si="432">$E167*P167</f>
        <v>49.5</v>
      </c>
      <c r="S167" s="124">
        <v>0.99</v>
      </c>
      <c r="T167" s="125">
        <f t="shared" si="419"/>
        <v>73.660714285714278</v>
      </c>
      <c r="U167" s="125">
        <f t="shared" ref="U167:U177" si="433">$E167*S167</f>
        <v>49.5</v>
      </c>
      <c r="X167" s="123"/>
      <c r="Y167" s="123"/>
      <c r="Z167" s="124">
        <v>1.65</v>
      </c>
      <c r="AA167" s="125">
        <f t="shared" ref="AA167:AA168" si="434">Z167*$D167</f>
        <v>122.76785714285712</v>
      </c>
      <c r="AB167" s="125">
        <f t="shared" si="420"/>
        <v>82.5</v>
      </c>
      <c r="AC167" s="124">
        <v>0.41</v>
      </c>
      <c r="AD167" s="125">
        <f t="shared" ref="AD167:AD168" si="435">AC167*$D167</f>
        <v>30.505952380952376</v>
      </c>
      <c r="AE167" s="125">
        <f t="shared" si="421"/>
        <v>20.5</v>
      </c>
      <c r="AF167" s="124">
        <v>0.91</v>
      </c>
      <c r="AG167" s="125">
        <f t="shared" ref="AG167:AG168" si="436">AF167*$D167</f>
        <v>67.708333333333329</v>
      </c>
      <c r="AH167" s="125">
        <f t="shared" si="422"/>
        <v>45.5</v>
      </c>
      <c r="AI167" s="124">
        <v>0.91</v>
      </c>
      <c r="AJ167" s="125">
        <f t="shared" ref="AJ167:AJ168" si="437">AI167*$D167</f>
        <v>67.708333333333329</v>
      </c>
      <c r="AK167" s="125">
        <f t="shared" si="423"/>
        <v>45.5</v>
      </c>
      <c r="AL167" s="162"/>
      <c r="AN167" s="123"/>
      <c r="AO167" s="123"/>
      <c r="AP167" s="124">
        <v>1.53</v>
      </c>
      <c r="AQ167" s="125">
        <f t="shared" ref="AQ167:AQ177" si="438">AP167*$D167</f>
        <v>113.83928571428571</v>
      </c>
      <c r="AR167" s="125">
        <f t="shared" si="424"/>
        <v>76.5</v>
      </c>
      <c r="AS167" s="124">
        <v>0.44</v>
      </c>
      <c r="AT167" s="125">
        <f t="shared" ref="AT167:AT177" si="439">AS167*$D167</f>
        <v>32.738095238095234</v>
      </c>
      <c r="AU167" s="125">
        <f t="shared" si="425"/>
        <v>22</v>
      </c>
      <c r="AV167" s="124">
        <v>0.78</v>
      </c>
      <c r="AW167" s="125">
        <f t="shared" ref="AW167:AW177" si="440">AV167*$D167</f>
        <v>58.035714285714285</v>
      </c>
      <c r="AX167" s="125">
        <f t="shared" si="426"/>
        <v>39</v>
      </c>
      <c r="AY167" s="124">
        <v>0.78</v>
      </c>
      <c r="AZ167" s="125">
        <f t="shared" ref="AZ167:AZ177" si="441">AY167*$D167</f>
        <v>58.035714285714285</v>
      </c>
      <c r="BA167" s="125">
        <f t="shared" si="427"/>
        <v>39</v>
      </c>
      <c r="BD167" s="139">
        <f t="shared" ref="BD167:BD177" si="442">(K167+AQ167)/2</f>
        <v>111.23511904761904</v>
      </c>
      <c r="BE167" s="139">
        <f t="shared" ref="BE167:BE172" si="443">(L167+AR167)/2</f>
        <v>74.75</v>
      </c>
      <c r="BF167" s="139">
        <f t="shared" ref="BF167:BF177" si="444">(N167+AT167)/2</f>
        <v>32.366071428571423</v>
      </c>
      <c r="BG167" s="139">
        <f t="shared" ref="BG167:BG172" si="445">(O167+AU167)/2</f>
        <v>21.75</v>
      </c>
      <c r="BH167" s="139">
        <f t="shared" ref="BH167:BH177" si="446">(Q167+AW167)/2</f>
        <v>65.848214285714278</v>
      </c>
      <c r="BI167" s="139">
        <f t="shared" ref="BI167:BI177" si="447">(R167+AX167)/2</f>
        <v>44.25</v>
      </c>
      <c r="BJ167" s="139">
        <f t="shared" ref="BJ167:BJ177" si="448">(T167+AZ167)/2</f>
        <v>65.848214285714278</v>
      </c>
      <c r="BK167" s="139">
        <f t="shared" ref="BK167:BK170" si="449">(U167+BA167)/2</f>
        <v>44.25</v>
      </c>
    </row>
    <row r="168" spans="1:63" ht="14.4">
      <c r="A168" s="126" t="s">
        <v>57</v>
      </c>
      <c r="B168" s="118">
        <v>31</v>
      </c>
      <c r="C168" s="118">
        <f t="shared" si="428"/>
        <v>744</v>
      </c>
      <c r="D168" s="122">
        <f t="shared" si="416"/>
        <v>119.6236559139785</v>
      </c>
      <c r="E168" s="118">
        <v>89</v>
      </c>
      <c r="H168" s="123"/>
      <c r="J168" s="124">
        <v>1.26</v>
      </c>
      <c r="K168" s="125">
        <f t="shared" si="429"/>
        <v>150.7258064516129</v>
      </c>
      <c r="L168" s="125">
        <f t="shared" si="430"/>
        <v>112.14</v>
      </c>
      <c r="M168" s="124">
        <v>0.51</v>
      </c>
      <c r="N168" s="125">
        <f t="shared" si="417"/>
        <v>61.008064516129032</v>
      </c>
      <c r="O168" s="125">
        <f t="shared" si="431"/>
        <v>45.39</v>
      </c>
      <c r="P168" s="124">
        <v>0.96</v>
      </c>
      <c r="Q168" s="125">
        <f t="shared" si="418"/>
        <v>114.83870967741935</v>
      </c>
      <c r="R168" s="125">
        <f t="shared" si="432"/>
        <v>85.44</v>
      </c>
      <c r="S168" s="124">
        <v>0.96</v>
      </c>
      <c r="T168" s="125">
        <f t="shared" si="419"/>
        <v>114.83870967741935</v>
      </c>
      <c r="U168" s="125">
        <f t="shared" si="433"/>
        <v>85.44</v>
      </c>
      <c r="X168" s="123"/>
      <c r="Y168" s="123"/>
      <c r="Z168" s="124">
        <v>1.28</v>
      </c>
      <c r="AA168" s="125">
        <f t="shared" si="434"/>
        <v>153.11827956989248</v>
      </c>
      <c r="AB168" s="125">
        <f t="shared" si="420"/>
        <v>113.92</v>
      </c>
      <c r="AC168" s="124">
        <v>0.33</v>
      </c>
      <c r="AD168" s="125">
        <f t="shared" si="435"/>
        <v>39.475806451612904</v>
      </c>
      <c r="AE168" s="125">
        <f t="shared" si="421"/>
        <v>29.37</v>
      </c>
      <c r="AF168" s="124">
        <v>0.84</v>
      </c>
      <c r="AG168" s="125">
        <f t="shared" si="436"/>
        <v>100.48387096774194</v>
      </c>
      <c r="AH168" s="125">
        <f t="shared" si="422"/>
        <v>74.759999999999991</v>
      </c>
      <c r="AI168" s="124">
        <v>0.84</v>
      </c>
      <c r="AJ168" s="125">
        <f t="shared" si="437"/>
        <v>100.48387096774194</v>
      </c>
      <c r="AK168" s="125">
        <f t="shared" si="423"/>
        <v>74.759999999999991</v>
      </c>
      <c r="AL168" s="162"/>
      <c r="AN168" s="123"/>
      <c r="AO168" s="123"/>
      <c r="AP168" s="124">
        <v>1.05</v>
      </c>
      <c r="AQ168" s="125">
        <f t="shared" si="438"/>
        <v>125.60483870967742</v>
      </c>
      <c r="AR168" s="125">
        <f t="shared" si="424"/>
        <v>93.45</v>
      </c>
      <c r="AS168" s="124">
        <v>0.32</v>
      </c>
      <c r="AT168" s="125">
        <f t="shared" si="439"/>
        <v>38.27956989247312</v>
      </c>
      <c r="AU168" s="125">
        <f t="shared" si="425"/>
        <v>28.48</v>
      </c>
      <c r="AV168" s="124">
        <v>0.67</v>
      </c>
      <c r="AW168" s="125">
        <f t="shared" si="440"/>
        <v>80.147849462365599</v>
      </c>
      <c r="AX168" s="125">
        <f t="shared" si="426"/>
        <v>59.63</v>
      </c>
      <c r="AY168" s="124">
        <v>0.67</v>
      </c>
      <c r="AZ168" s="125">
        <f t="shared" si="441"/>
        <v>80.147849462365599</v>
      </c>
      <c r="BA168" s="125">
        <f t="shared" si="427"/>
        <v>59.63</v>
      </c>
      <c r="BD168" s="139">
        <f t="shared" si="442"/>
        <v>138.16532258064515</v>
      </c>
      <c r="BE168" s="139">
        <f t="shared" si="443"/>
        <v>102.795</v>
      </c>
      <c r="BF168" s="139">
        <f t="shared" si="444"/>
        <v>49.643817204301072</v>
      </c>
      <c r="BG168" s="139">
        <f t="shared" si="445"/>
        <v>36.935000000000002</v>
      </c>
      <c r="BH168" s="139">
        <f t="shared" si="446"/>
        <v>97.493279569892479</v>
      </c>
      <c r="BI168" s="139">
        <f t="shared" si="447"/>
        <v>72.534999999999997</v>
      </c>
      <c r="BJ168" s="139">
        <f t="shared" si="448"/>
        <v>97.493279569892479</v>
      </c>
      <c r="BK168" s="139">
        <f t="shared" si="449"/>
        <v>72.534999999999997</v>
      </c>
    </row>
    <row r="169" spans="1:63" ht="14.4">
      <c r="A169" s="126" t="s">
        <v>58</v>
      </c>
      <c r="B169" s="118">
        <v>30</v>
      </c>
      <c r="C169" s="118">
        <f t="shared" si="428"/>
        <v>720</v>
      </c>
      <c r="D169" s="122">
        <f t="shared" si="416"/>
        <v>190.27777777777777</v>
      </c>
      <c r="E169" s="118">
        <v>137</v>
      </c>
      <c r="H169" s="123"/>
      <c r="J169" s="124">
        <v>1.1000000000000001</v>
      </c>
      <c r="K169" s="125">
        <f t="shared" si="429"/>
        <v>209.30555555555557</v>
      </c>
      <c r="L169" s="125">
        <f t="shared" si="430"/>
        <v>150.70000000000002</v>
      </c>
      <c r="M169" s="124">
        <v>0.68</v>
      </c>
      <c r="N169" s="125">
        <f t="shared" si="417"/>
        <v>129.38888888888889</v>
      </c>
      <c r="O169" s="125">
        <f t="shared" si="431"/>
        <v>93.160000000000011</v>
      </c>
      <c r="P169" s="124">
        <v>0.94</v>
      </c>
      <c r="Q169" s="125">
        <f t="shared" si="418"/>
        <v>178.86111111111109</v>
      </c>
      <c r="R169" s="125">
        <f t="shared" si="432"/>
        <v>128.78</v>
      </c>
      <c r="S169" s="124">
        <v>0.94</v>
      </c>
      <c r="T169" s="125">
        <f t="shared" si="419"/>
        <v>178.86111111111109</v>
      </c>
      <c r="U169" s="125">
        <f t="shared" si="433"/>
        <v>128.78</v>
      </c>
      <c r="X169" s="123"/>
      <c r="Y169" s="123"/>
      <c r="Z169" s="124">
        <v>0.99</v>
      </c>
      <c r="AA169" s="125">
        <f>Z169*$D169</f>
        <v>188.375</v>
      </c>
      <c r="AB169" s="125">
        <f t="shared" si="420"/>
        <v>135.63</v>
      </c>
      <c r="AC169" s="124">
        <v>0.33</v>
      </c>
      <c r="AD169" s="125">
        <f>AC169*$D169</f>
        <v>62.791666666666664</v>
      </c>
      <c r="AE169" s="125">
        <f t="shared" si="421"/>
        <v>45.21</v>
      </c>
      <c r="AF169" s="124">
        <v>0.8</v>
      </c>
      <c r="AG169" s="125">
        <f>AF169*$D169</f>
        <v>152.22222222222223</v>
      </c>
      <c r="AH169" s="125">
        <f t="shared" si="422"/>
        <v>109.60000000000001</v>
      </c>
      <c r="AI169" s="124">
        <v>0.8</v>
      </c>
      <c r="AJ169" s="125">
        <f>AI169*$D169</f>
        <v>152.22222222222223</v>
      </c>
      <c r="AK169" s="125">
        <f t="shared" si="423"/>
        <v>109.60000000000001</v>
      </c>
      <c r="AL169" s="162"/>
      <c r="AN169" s="123"/>
      <c r="AO169" s="123"/>
      <c r="AP169" s="124">
        <v>0.71</v>
      </c>
      <c r="AQ169" s="125">
        <f>AP169*$D169</f>
        <v>135.0972222222222</v>
      </c>
      <c r="AR169" s="125">
        <f t="shared" si="424"/>
        <v>97.27</v>
      </c>
      <c r="AS169" s="124">
        <v>0.28000000000000003</v>
      </c>
      <c r="AT169" s="125">
        <f>AS169*$D169</f>
        <v>53.277777777777779</v>
      </c>
      <c r="AU169" s="125">
        <f t="shared" si="425"/>
        <v>38.360000000000007</v>
      </c>
      <c r="AV169" s="124">
        <v>0.59</v>
      </c>
      <c r="AW169" s="125">
        <f>AV169*$D169</f>
        <v>112.26388888888889</v>
      </c>
      <c r="AX169" s="125">
        <f t="shared" si="426"/>
        <v>80.83</v>
      </c>
      <c r="AY169" s="124">
        <v>0.59</v>
      </c>
      <c r="AZ169" s="125">
        <f>AY169*$D169</f>
        <v>112.26388888888889</v>
      </c>
      <c r="BA169" s="125">
        <f t="shared" si="427"/>
        <v>80.83</v>
      </c>
      <c r="BD169" s="139">
        <f t="shared" si="442"/>
        <v>172.20138888888889</v>
      </c>
      <c r="BE169" s="139">
        <f t="shared" si="443"/>
        <v>123.98500000000001</v>
      </c>
      <c r="BF169" s="139">
        <f t="shared" si="444"/>
        <v>91.333333333333329</v>
      </c>
      <c r="BG169" s="139">
        <f t="shared" si="445"/>
        <v>65.760000000000005</v>
      </c>
      <c r="BH169" s="139">
        <f t="shared" si="446"/>
        <v>145.5625</v>
      </c>
      <c r="BI169" s="139">
        <f t="shared" si="447"/>
        <v>104.80500000000001</v>
      </c>
      <c r="BJ169" s="139">
        <f t="shared" si="448"/>
        <v>145.5625</v>
      </c>
      <c r="BK169" s="139">
        <f t="shared" si="449"/>
        <v>104.80500000000001</v>
      </c>
    </row>
    <row r="170" spans="1:63" ht="14.4">
      <c r="A170" s="126" t="s">
        <v>183</v>
      </c>
      <c r="B170" s="118">
        <v>31</v>
      </c>
      <c r="C170" s="118">
        <f t="shared" si="428"/>
        <v>744</v>
      </c>
      <c r="D170" s="122">
        <f t="shared" si="416"/>
        <v>225.80645161290323</v>
      </c>
      <c r="E170" s="118">
        <v>168</v>
      </c>
      <c r="H170" s="123"/>
      <c r="J170" s="124">
        <v>1.01</v>
      </c>
      <c r="K170" s="125">
        <f t="shared" si="429"/>
        <v>228.06451612903226</v>
      </c>
      <c r="L170" s="125">
        <f t="shared" si="430"/>
        <v>169.68</v>
      </c>
      <c r="M170" s="124">
        <v>0.79</v>
      </c>
      <c r="N170" s="125">
        <f t="shared" si="417"/>
        <v>178.38709677419357</v>
      </c>
      <c r="O170" s="125">
        <f t="shared" si="431"/>
        <v>132.72</v>
      </c>
      <c r="P170" s="124">
        <v>0.94</v>
      </c>
      <c r="Q170" s="125">
        <f t="shared" si="418"/>
        <v>212.25806451612902</v>
      </c>
      <c r="R170" s="125">
        <f t="shared" si="432"/>
        <v>157.91999999999999</v>
      </c>
      <c r="S170" s="124">
        <v>0.94</v>
      </c>
      <c r="T170" s="125">
        <f t="shared" si="419"/>
        <v>212.25806451612902</v>
      </c>
      <c r="U170" s="125">
        <f t="shared" si="433"/>
        <v>157.91999999999999</v>
      </c>
      <c r="X170" s="123"/>
      <c r="Y170" s="123"/>
      <c r="Z170" s="124">
        <v>0.84</v>
      </c>
      <c r="AA170" s="125">
        <f t="shared" ref="AA170:AA177" si="450">Z170*$D170</f>
        <v>189.67741935483872</v>
      </c>
      <c r="AB170" s="125">
        <f t="shared" si="420"/>
        <v>141.12</v>
      </c>
      <c r="AC170" s="124">
        <v>0.39</v>
      </c>
      <c r="AD170" s="125">
        <f t="shared" ref="AD170:AD177" si="451">AC170*$D170</f>
        <v>88.064516129032256</v>
      </c>
      <c r="AE170" s="125">
        <f t="shared" si="421"/>
        <v>65.52</v>
      </c>
      <c r="AF170" s="124">
        <v>0.79</v>
      </c>
      <c r="AG170" s="125">
        <f t="shared" ref="AG170:AG177" si="452">AF170*$D170</f>
        <v>178.38709677419357</v>
      </c>
      <c r="AH170" s="125">
        <f t="shared" si="422"/>
        <v>132.72</v>
      </c>
      <c r="AI170" s="124">
        <v>0.79</v>
      </c>
      <c r="AJ170" s="125">
        <f t="shared" ref="AJ170:AJ177" si="453">AI170*$D170</f>
        <v>178.38709677419357</v>
      </c>
      <c r="AK170" s="125">
        <f t="shared" si="423"/>
        <v>132.72</v>
      </c>
      <c r="AL170" s="162"/>
      <c r="AN170" s="123"/>
      <c r="AO170" s="123"/>
      <c r="AP170" s="124">
        <v>0.55000000000000004</v>
      </c>
      <c r="AQ170" s="125">
        <f t="shared" si="438"/>
        <v>124.19354838709678</v>
      </c>
      <c r="AR170" s="125">
        <f t="shared" si="424"/>
        <v>92.4</v>
      </c>
      <c r="AS170" s="124">
        <v>0.3</v>
      </c>
      <c r="AT170" s="125">
        <f t="shared" si="439"/>
        <v>67.741935483870961</v>
      </c>
      <c r="AU170" s="125">
        <f t="shared" si="425"/>
        <v>50.4</v>
      </c>
      <c r="AV170" s="124">
        <v>0.56999999999999995</v>
      </c>
      <c r="AW170" s="125">
        <f t="shared" si="440"/>
        <v>128.70967741935482</v>
      </c>
      <c r="AX170" s="125">
        <f t="shared" si="426"/>
        <v>95.759999999999991</v>
      </c>
      <c r="AY170" s="124">
        <v>0.56999999999999995</v>
      </c>
      <c r="AZ170" s="125">
        <f t="shared" si="441"/>
        <v>128.70967741935482</v>
      </c>
      <c r="BA170" s="125">
        <f t="shared" si="427"/>
        <v>95.759999999999991</v>
      </c>
      <c r="BD170" s="139">
        <f t="shared" si="442"/>
        <v>176.12903225806451</v>
      </c>
      <c r="BE170" s="139">
        <f t="shared" si="443"/>
        <v>131.04000000000002</v>
      </c>
      <c r="BF170" s="139">
        <f t="shared" si="444"/>
        <v>123.06451612903226</v>
      </c>
      <c r="BG170" s="139">
        <f t="shared" si="445"/>
        <v>91.56</v>
      </c>
      <c r="BH170" s="139">
        <f t="shared" si="446"/>
        <v>170.48387096774192</v>
      </c>
      <c r="BI170" s="139">
        <f t="shared" si="447"/>
        <v>126.83999999999999</v>
      </c>
      <c r="BJ170" s="139">
        <f t="shared" si="448"/>
        <v>170.48387096774192</v>
      </c>
      <c r="BK170" s="139">
        <f t="shared" si="449"/>
        <v>126.83999999999999</v>
      </c>
    </row>
    <row r="171" spans="1:63" ht="14.4">
      <c r="A171" s="126" t="s">
        <v>184</v>
      </c>
      <c r="B171" s="118">
        <v>30</v>
      </c>
      <c r="C171" s="118">
        <f t="shared" si="428"/>
        <v>720</v>
      </c>
      <c r="D171" s="122">
        <f t="shared" si="416"/>
        <v>251.38888888888889</v>
      </c>
      <c r="E171" s="118">
        <v>181</v>
      </c>
      <c r="H171" s="123"/>
      <c r="I171" s="159" t="s">
        <v>193</v>
      </c>
      <c r="J171" s="124">
        <v>0.97</v>
      </c>
      <c r="K171" s="125">
        <f t="shared" si="429"/>
        <v>243.8472222222222</v>
      </c>
      <c r="L171" s="125">
        <f t="shared" si="430"/>
        <v>175.57</v>
      </c>
      <c r="M171" s="124">
        <v>0.82</v>
      </c>
      <c r="N171" s="125">
        <f t="shared" si="417"/>
        <v>206.13888888888889</v>
      </c>
      <c r="O171" s="125">
        <f t="shared" si="431"/>
        <v>148.41999999999999</v>
      </c>
      <c r="P171" s="124">
        <v>0.93</v>
      </c>
      <c r="Q171" s="125">
        <f t="shared" si="418"/>
        <v>233.79166666666669</v>
      </c>
      <c r="R171" s="125">
        <f t="shared" si="432"/>
        <v>168.33</v>
      </c>
      <c r="S171" s="124">
        <v>0.93</v>
      </c>
      <c r="T171" s="125">
        <f t="shared" si="419"/>
        <v>233.79166666666669</v>
      </c>
      <c r="U171" s="125">
        <f t="shared" si="433"/>
        <v>168.33</v>
      </c>
      <c r="W171" s="159" t="s">
        <v>193</v>
      </c>
      <c r="X171" s="123"/>
      <c r="Y171" s="123"/>
      <c r="Z171" s="124">
        <v>0.78</v>
      </c>
      <c r="AA171" s="125">
        <f t="shared" si="450"/>
        <v>196.08333333333334</v>
      </c>
      <c r="AB171" s="125">
        <f t="shared" si="420"/>
        <v>141.18</v>
      </c>
      <c r="AC171" s="124">
        <v>0.45</v>
      </c>
      <c r="AD171" s="125">
        <f t="shared" si="451"/>
        <v>113.125</v>
      </c>
      <c r="AE171" s="125">
        <f t="shared" si="421"/>
        <v>81.45</v>
      </c>
      <c r="AF171" s="124">
        <v>0.78</v>
      </c>
      <c r="AG171" s="125">
        <f t="shared" si="452"/>
        <v>196.08333333333334</v>
      </c>
      <c r="AH171" s="125">
        <f t="shared" si="422"/>
        <v>141.18</v>
      </c>
      <c r="AI171" s="124">
        <v>0.78</v>
      </c>
      <c r="AJ171" s="125">
        <f t="shared" si="453"/>
        <v>196.08333333333334</v>
      </c>
      <c r="AK171" s="125">
        <f t="shared" si="423"/>
        <v>141.18</v>
      </c>
      <c r="AL171" s="162"/>
      <c r="AM171" s="159" t="s">
        <v>193</v>
      </c>
      <c r="AN171" s="123"/>
      <c r="AO171" s="123"/>
      <c r="AP171" s="124">
        <v>0.49</v>
      </c>
      <c r="AQ171" s="125">
        <f t="shared" si="438"/>
        <v>123.18055555555556</v>
      </c>
      <c r="AR171" s="125">
        <f t="shared" si="424"/>
        <v>88.69</v>
      </c>
      <c r="AS171" s="124">
        <v>0.31</v>
      </c>
      <c r="AT171" s="125">
        <f t="shared" si="439"/>
        <v>77.930555555555557</v>
      </c>
      <c r="AU171" s="125">
        <f t="shared" si="425"/>
        <v>56.11</v>
      </c>
      <c r="AV171" s="124">
        <v>0.55000000000000004</v>
      </c>
      <c r="AW171" s="125">
        <f t="shared" si="440"/>
        <v>138.26388888888889</v>
      </c>
      <c r="AX171" s="125">
        <f t="shared" si="426"/>
        <v>99.550000000000011</v>
      </c>
      <c r="AY171" s="124">
        <v>0.55000000000000004</v>
      </c>
      <c r="AZ171" s="125">
        <f t="shared" si="441"/>
        <v>138.26388888888889</v>
      </c>
      <c r="BA171" s="125">
        <f t="shared" si="427"/>
        <v>99.550000000000011</v>
      </c>
      <c r="BC171" s="159" t="s">
        <v>193</v>
      </c>
      <c r="BD171" s="139">
        <f t="shared" si="442"/>
        <v>183.51388888888889</v>
      </c>
      <c r="BE171" s="139">
        <f t="shared" si="443"/>
        <v>132.13</v>
      </c>
      <c r="BF171" s="139">
        <f t="shared" si="444"/>
        <v>142.03472222222223</v>
      </c>
      <c r="BG171" s="139">
        <f t="shared" si="445"/>
        <v>102.26499999999999</v>
      </c>
      <c r="BH171" s="139">
        <f t="shared" si="446"/>
        <v>186.02777777777777</v>
      </c>
      <c r="BI171" s="139">
        <f t="shared" si="447"/>
        <v>133.94</v>
      </c>
      <c r="BJ171" s="139">
        <f t="shared" si="448"/>
        <v>186.02777777777777</v>
      </c>
      <c r="BK171" s="139">
        <f>(U171+BA171)/2</f>
        <v>133.94</v>
      </c>
    </row>
    <row r="172" spans="1:63" ht="14.4">
      <c r="A172" s="126" t="s">
        <v>185</v>
      </c>
      <c r="B172" s="118">
        <v>31</v>
      </c>
      <c r="C172" s="118">
        <f t="shared" si="428"/>
        <v>744</v>
      </c>
      <c r="D172" s="122">
        <f t="shared" si="416"/>
        <v>237.90322580645162</v>
      </c>
      <c r="E172" s="118">
        <v>177</v>
      </c>
      <c r="H172" s="123"/>
      <c r="I172" s="159" t="s">
        <v>241</v>
      </c>
      <c r="J172" s="124">
        <v>0.98</v>
      </c>
      <c r="K172" s="125">
        <f t="shared" si="429"/>
        <v>233.14516129032259</v>
      </c>
      <c r="L172" s="125">
        <f t="shared" si="430"/>
        <v>173.46</v>
      </c>
      <c r="M172" s="124">
        <v>0.81</v>
      </c>
      <c r="N172" s="125">
        <f t="shared" si="417"/>
        <v>192.70161290322582</v>
      </c>
      <c r="O172" s="125">
        <f t="shared" si="431"/>
        <v>143.37</v>
      </c>
      <c r="P172" s="124">
        <v>0.93</v>
      </c>
      <c r="Q172" s="125">
        <f t="shared" si="418"/>
        <v>221.25</v>
      </c>
      <c r="R172" s="125">
        <f t="shared" si="432"/>
        <v>164.61</v>
      </c>
      <c r="S172" s="124">
        <v>0.93</v>
      </c>
      <c r="T172" s="125">
        <f t="shared" si="419"/>
        <v>221.25</v>
      </c>
      <c r="U172" s="125">
        <f t="shared" si="433"/>
        <v>164.61</v>
      </c>
      <c r="W172" s="159" t="s">
        <v>241</v>
      </c>
      <c r="X172" s="123"/>
      <c r="Y172" s="123"/>
      <c r="Z172" s="124">
        <v>0.81</v>
      </c>
      <c r="AA172" s="125">
        <f t="shared" si="450"/>
        <v>192.70161290322582</v>
      </c>
      <c r="AB172" s="125">
        <f t="shared" si="420"/>
        <v>143.37</v>
      </c>
      <c r="AC172" s="124">
        <v>0.42</v>
      </c>
      <c r="AD172" s="125">
        <f t="shared" si="451"/>
        <v>99.91935483870968</v>
      </c>
      <c r="AE172" s="125">
        <f t="shared" si="421"/>
        <v>74.34</v>
      </c>
      <c r="AF172" s="124">
        <v>0.78</v>
      </c>
      <c r="AG172" s="125">
        <f t="shared" si="452"/>
        <v>185.56451612903226</v>
      </c>
      <c r="AH172" s="125">
        <f t="shared" si="422"/>
        <v>138.06</v>
      </c>
      <c r="AI172" s="124">
        <v>0.78</v>
      </c>
      <c r="AJ172" s="125">
        <f t="shared" si="453"/>
        <v>185.56451612903226</v>
      </c>
      <c r="AK172" s="125">
        <f t="shared" si="423"/>
        <v>138.06</v>
      </c>
      <c r="AL172" s="162"/>
      <c r="AM172" s="159" t="s">
        <v>241</v>
      </c>
      <c r="AN172" s="123"/>
      <c r="AO172" s="123"/>
      <c r="AP172" s="124">
        <v>0.51</v>
      </c>
      <c r="AQ172" s="125">
        <f t="shared" si="438"/>
        <v>121.33064516129032</v>
      </c>
      <c r="AR172" s="125">
        <f t="shared" si="424"/>
        <v>90.27</v>
      </c>
      <c r="AS172" s="124">
        <v>0.3</v>
      </c>
      <c r="AT172" s="125">
        <f t="shared" si="439"/>
        <v>71.370967741935488</v>
      </c>
      <c r="AU172" s="125">
        <f t="shared" si="425"/>
        <v>53.1</v>
      </c>
      <c r="AV172" s="124">
        <v>0.55000000000000004</v>
      </c>
      <c r="AW172" s="125">
        <f t="shared" si="440"/>
        <v>130.84677419354841</v>
      </c>
      <c r="AX172" s="125">
        <f t="shared" si="426"/>
        <v>97.350000000000009</v>
      </c>
      <c r="AY172" s="124">
        <v>0.55000000000000004</v>
      </c>
      <c r="AZ172" s="125">
        <f t="shared" si="441"/>
        <v>130.84677419354841</v>
      </c>
      <c r="BA172" s="125">
        <f t="shared" si="427"/>
        <v>97.350000000000009</v>
      </c>
      <c r="BC172" s="159" t="s">
        <v>241</v>
      </c>
      <c r="BD172" s="139">
        <f t="shared" si="442"/>
        <v>177.23790322580646</v>
      </c>
      <c r="BE172" s="139">
        <f t="shared" si="443"/>
        <v>131.86500000000001</v>
      </c>
      <c r="BF172" s="139">
        <f t="shared" si="444"/>
        <v>132.03629032258067</v>
      </c>
      <c r="BG172" s="139">
        <f t="shared" si="445"/>
        <v>98.234999999999999</v>
      </c>
      <c r="BH172" s="139">
        <f t="shared" si="446"/>
        <v>176.04838709677421</v>
      </c>
      <c r="BI172" s="139">
        <f t="shared" si="447"/>
        <v>130.98000000000002</v>
      </c>
      <c r="BJ172" s="139">
        <f t="shared" si="448"/>
        <v>176.04838709677421</v>
      </c>
      <c r="BK172" s="139">
        <f t="shared" ref="BK172:BK173" si="454">(U172+BA172)/2</f>
        <v>130.98000000000002</v>
      </c>
    </row>
    <row r="173" spans="1:63" ht="14.4">
      <c r="A173" s="126" t="s">
        <v>186</v>
      </c>
      <c r="B173" s="118">
        <v>31</v>
      </c>
      <c r="C173" s="118">
        <f t="shared" si="428"/>
        <v>744</v>
      </c>
      <c r="D173" s="122">
        <f t="shared" si="416"/>
        <v>206.98924731182797</v>
      </c>
      <c r="E173" s="118">
        <v>154</v>
      </c>
      <c r="H173" s="123"/>
      <c r="J173" s="124">
        <v>1.05</v>
      </c>
      <c r="K173" s="125">
        <f t="shared" si="429"/>
        <v>217.33870967741939</v>
      </c>
      <c r="L173" s="125">
        <f t="shared" si="430"/>
        <v>161.70000000000002</v>
      </c>
      <c r="M173" s="124">
        <v>0.73</v>
      </c>
      <c r="N173" s="125">
        <f t="shared" si="417"/>
        <v>151.1021505376344</v>
      </c>
      <c r="O173" s="125">
        <f t="shared" si="431"/>
        <v>112.42</v>
      </c>
      <c r="P173" s="124">
        <v>0.93</v>
      </c>
      <c r="Q173" s="125">
        <f t="shared" si="418"/>
        <v>192.50000000000003</v>
      </c>
      <c r="R173" s="125">
        <f t="shared" si="432"/>
        <v>143.22</v>
      </c>
      <c r="S173" s="124">
        <v>0.93</v>
      </c>
      <c r="T173" s="125">
        <f t="shared" si="419"/>
        <v>192.50000000000003</v>
      </c>
      <c r="U173" s="125">
        <f t="shared" si="433"/>
        <v>143.22</v>
      </c>
      <c r="X173" s="123"/>
      <c r="Y173" s="123"/>
      <c r="Z173" s="124">
        <v>0.91</v>
      </c>
      <c r="AA173" s="125">
        <f t="shared" si="450"/>
        <v>188.36021505376345</v>
      </c>
      <c r="AB173" s="125">
        <f t="shared" si="420"/>
        <v>140.14000000000001</v>
      </c>
      <c r="AC173" s="124">
        <v>0.34</v>
      </c>
      <c r="AD173" s="125">
        <f t="shared" si="451"/>
        <v>70.376344086021518</v>
      </c>
      <c r="AE173" s="125">
        <f t="shared" si="421"/>
        <v>52.360000000000007</v>
      </c>
      <c r="AF173" s="124">
        <v>0.79</v>
      </c>
      <c r="AG173" s="125">
        <f t="shared" si="452"/>
        <v>163.52150537634409</v>
      </c>
      <c r="AH173" s="125">
        <f t="shared" si="422"/>
        <v>121.66000000000001</v>
      </c>
      <c r="AI173" s="124">
        <v>0.79</v>
      </c>
      <c r="AJ173" s="125">
        <f t="shared" si="453"/>
        <v>163.52150537634409</v>
      </c>
      <c r="AK173" s="125">
        <f t="shared" si="423"/>
        <v>121.66000000000001</v>
      </c>
      <c r="AL173" s="162"/>
      <c r="AN173" s="123"/>
      <c r="AO173" s="123"/>
      <c r="AP173" s="124">
        <v>0.62</v>
      </c>
      <c r="AQ173" s="125">
        <f t="shared" si="438"/>
        <v>128.33333333333334</v>
      </c>
      <c r="AR173" s="125">
        <f t="shared" si="424"/>
        <v>95.48</v>
      </c>
      <c r="AS173" s="124">
        <v>0.28999999999999998</v>
      </c>
      <c r="AT173" s="125">
        <f t="shared" si="439"/>
        <v>60.026881720430104</v>
      </c>
      <c r="AU173" s="125">
        <f t="shared" si="425"/>
        <v>44.66</v>
      </c>
      <c r="AV173" s="124">
        <v>0.57999999999999996</v>
      </c>
      <c r="AW173" s="125">
        <f t="shared" si="440"/>
        <v>120.05376344086021</v>
      </c>
      <c r="AX173" s="125">
        <f t="shared" si="426"/>
        <v>89.32</v>
      </c>
      <c r="AY173" s="124">
        <v>0.57999999999999996</v>
      </c>
      <c r="AZ173" s="125">
        <f t="shared" si="441"/>
        <v>120.05376344086021</v>
      </c>
      <c r="BA173" s="125">
        <f t="shared" si="427"/>
        <v>89.32</v>
      </c>
      <c r="BD173" s="139">
        <f t="shared" si="442"/>
        <v>172.83602150537638</v>
      </c>
      <c r="BE173" s="139">
        <f>(L173+AR173)/2</f>
        <v>128.59</v>
      </c>
      <c r="BF173" s="139">
        <f t="shared" si="444"/>
        <v>105.56451612903226</v>
      </c>
      <c r="BG173" s="139">
        <f>(O173+AU173)/2</f>
        <v>78.539999999999992</v>
      </c>
      <c r="BH173" s="139">
        <f t="shared" si="446"/>
        <v>156.27688172043011</v>
      </c>
      <c r="BI173" s="139">
        <f t="shared" si="447"/>
        <v>116.27</v>
      </c>
      <c r="BJ173" s="139">
        <f t="shared" si="448"/>
        <v>156.27688172043011</v>
      </c>
      <c r="BK173" s="139">
        <f t="shared" si="454"/>
        <v>116.27</v>
      </c>
    </row>
    <row r="174" spans="1:63" ht="14.4">
      <c r="A174" s="126" t="s">
        <v>187</v>
      </c>
      <c r="B174" s="118">
        <v>30</v>
      </c>
      <c r="C174" s="118">
        <f t="shared" si="428"/>
        <v>720</v>
      </c>
      <c r="D174" s="122">
        <f t="shared" si="416"/>
        <v>155.55555555555554</v>
      </c>
      <c r="E174" s="118">
        <v>112</v>
      </c>
      <c r="H174" s="123"/>
      <c r="J174" s="124">
        <v>1.18</v>
      </c>
      <c r="K174" s="125">
        <f t="shared" si="429"/>
        <v>183.55555555555554</v>
      </c>
      <c r="L174" s="125">
        <f t="shared" si="430"/>
        <v>132.16</v>
      </c>
      <c r="M174" s="124">
        <v>0.57999999999999996</v>
      </c>
      <c r="N174" s="125">
        <f t="shared" si="417"/>
        <v>90.222222222222214</v>
      </c>
      <c r="O174" s="125">
        <f t="shared" si="431"/>
        <v>64.959999999999994</v>
      </c>
      <c r="P174" s="124">
        <v>0.95</v>
      </c>
      <c r="Q174" s="125">
        <f t="shared" si="418"/>
        <v>147.77777777777777</v>
      </c>
      <c r="R174" s="125">
        <f t="shared" si="432"/>
        <v>106.39999999999999</v>
      </c>
      <c r="S174" s="124">
        <v>0.95</v>
      </c>
      <c r="T174" s="125">
        <f t="shared" si="419"/>
        <v>147.77777777777777</v>
      </c>
      <c r="U174" s="125">
        <f t="shared" si="433"/>
        <v>106.39999999999999</v>
      </c>
      <c r="X174" s="123"/>
      <c r="Y174" s="123"/>
      <c r="Z174" s="124">
        <v>1.1200000000000001</v>
      </c>
      <c r="AA174" s="125">
        <f t="shared" si="450"/>
        <v>174.22222222222223</v>
      </c>
      <c r="AB174" s="125">
        <f t="shared" si="420"/>
        <v>125.44000000000001</v>
      </c>
      <c r="AC174" s="124">
        <v>0.3</v>
      </c>
      <c r="AD174" s="125">
        <f t="shared" si="451"/>
        <v>46.666666666666664</v>
      </c>
      <c r="AE174" s="125">
        <f t="shared" si="421"/>
        <v>33.6</v>
      </c>
      <c r="AF174" s="124">
        <v>0.81</v>
      </c>
      <c r="AG174" s="125">
        <f t="shared" si="452"/>
        <v>126</v>
      </c>
      <c r="AH174" s="125">
        <f t="shared" si="422"/>
        <v>90.72</v>
      </c>
      <c r="AI174" s="124">
        <v>0.81</v>
      </c>
      <c r="AJ174" s="125">
        <f t="shared" si="453"/>
        <v>126</v>
      </c>
      <c r="AK174" s="125">
        <f t="shared" si="423"/>
        <v>90.72</v>
      </c>
      <c r="AL174" s="162"/>
      <c r="AN174" s="123"/>
      <c r="AO174" s="123"/>
      <c r="AP174" s="124">
        <v>0.85</v>
      </c>
      <c r="AQ174" s="125">
        <f t="shared" si="438"/>
        <v>132.2222222222222</v>
      </c>
      <c r="AR174" s="125">
        <f t="shared" si="424"/>
        <v>95.2</v>
      </c>
      <c r="AS174" s="124">
        <v>0.27</v>
      </c>
      <c r="AT174" s="125">
        <f t="shared" si="439"/>
        <v>42</v>
      </c>
      <c r="AU174" s="125">
        <f t="shared" si="425"/>
        <v>30.240000000000002</v>
      </c>
      <c r="AV174" s="124">
        <v>0.6</v>
      </c>
      <c r="AW174" s="125">
        <f t="shared" si="440"/>
        <v>93.333333333333329</v>
      </c>
      <c r="AX174" s="125">
        <f t="shared" si="426"/>
        <v>67.2</v>
      </c>
      <c r="AY174" s="124">
        <v>0.6</v>
      </c>
      <c r="AZ174" s="125">
        <f t="shared" si="441"/>
        <v>93.333333333333329</v>
      </c>
      <c r="BA174" s="125">
        <f t="shared" si="427"/>
        <v>67.2</v>
      </c>
      <c r="BD174" s="139">
        <f t="shared" si="442"/>
        <v>157.88888888888886</v>
      </c>
      <c r="BE174" s="139">
        <f t="shared" ref="BE174:BE177" si="455">(L174+AR174)/2</f>
        <v>113.68</v>
      </c>
      <c r="BF174" s="139">
        <f t="shared" si="444"/>
        <v>66.111111111111114</v>
      </c>
      <c r="BG174" s="139">
        <f t="shared" ref="BG174:BG177" si="456">(O174+AU174)/2</f>
        <v>47.599999999999994</v>
      </c>
      <c r="BH174" s="139">
        <f t="shared" si="446"/>
        <v>120.55555555555554</v>
      </c>
      <c r="BI174" s="139">
        <f t="shared" si="447"/>
        <v>86.8</v>
      </c>
      <c r="BJ174" s="139">
        <f t="shared" si="448"/>
        <v>120.55555555555554</v>
      </c>
      <c r="BK174" s="139">
        <f>(U174+BA174)/2</f>
        <v>86.8</v>
      </c>
    </row>
    <row r="175" spans="1:63" ht="14.4">
      <c r="A175" s="126" t="s">
        <v>59</v>
      </c>
      <c r="B175" s="118">
        <v>31</v>
      </c>
      <c r="C175" s="118">
        <f t="shared" si="428"/>
        <v>744</v>
      </c>
      <c r="D175" s="122">
        <f t="shared" si="416"/>
        <v>90.053763440860209</v>
      </c>
      <c r="E175" s="118">
        <v>67</v>
      </c>
      <c r="H175" s="123"/>
      <c r="J175" s="124">
        <v>1.35</v>
      </c>
      <c r="K175" s="125">
        <f t="shared" si="429"/>
        <v>121.5725806451613</v>
      </c>
      <c r="L175" s="125">
        <f t="shared" si="430"/>
        <v>90.45</v>
      </c>
      <c r="M175" s="124">
        <v>0.43</v>
      </c>
      <c r="N175" s="125">
        <f t="shared" si="417"/>
        <v>38.723118279569889</v>
      </c>
      <c r="O175" s="125">
        <f t="shared" si="431"/>
        <v>28.81</v>
      </c>
      <c r="P175" s="124">
        <v>0.96</v>
      </c>
      <c r="Q175" s="125">
        <f t="shared" si="418"/>
        <v>86.451612903225794</v>
      </c>
      <c r="R175" s="125">
        <f t="shared" si="432"/>
        <v>64.319999999999993</v>
      </c>
      <c r="S175" s="124">
        <v>0.96</v>
      </c>
      <c r="T175" s="125">
        <f t="shared" si="419"/>
        <v>86.451612903225794</v>
      </c>
      <c r="U175" s="125">
        <f t="shared" si="433"/>
        <v>64.319999999999993</v>
      </c>
      <c r="X175" s="123"/>
      <c r="Y175" s="123"/>
      <c r="Z175" s="124">
        <v>1.43</v>
      </c>
      <c r="AA175" s="125">
        <f t="shared" si="450"/>
        <v>128.77688172043008</v>
      </c>
      <c r="AB175" s="125">
        <f t="shared" si="420"/>
        <v>95.81</v>
      </c>
      <c r="AC175" s="124">
        <v>0.33</v>
      </c>
      <c r="AD175" s="125">
        <f t="shared" si="451"/>
        <v>29.717741935483872</v>
      </c>
      <c r="AE175" s="125">
        <f t="shared" si="421"/>
        <v>22.11</v>
      </c>
      <c r="AF175" s="124">
        <v>0.84</v>
      </c>
      <c r="AG175" s="125">
        <f t="shared" si="452"/>
        <v>75.645161290322577</v>
      </c>
      <c r="AH175" s="125">
        <f t="shared" si="422"/>
        <v>56.28</v>
      </c>
      <c r="AI175" s="124">
        <v>0.84</v>
      </c>
      <c r="AJ175" s="125">
        <f t="shared" si="453"/>
        <v>75.645161290322577</v>
      </c>
      <c r="AK175" s="125">
        <f t="shared" si="423"/>
        <v>56.28</v>
      </c>
      <c r="AL175" s="162"/>
      <c r="AN175" s="123"/>
      <c r="AO175" s="123"/>
      <c r="AP175" s="124">
        <v>1.22</v>
      </c>
      <c r="AQ175" s="125">
        <f t="shared" si="438"/>
        <v>109.86559139784946</v>
      </c>
      <c r="AR175" s="125">
        <f t="shared" si="424"/>
        <v>81.739999999999995</v>
      </c>
      <c r="AS175" s="124">
        <v>0.28999999999999998</v>
      </c>
      <c r="AT175" s="125">
        <f t="shared" si="439"/>
        <v>26.11559139784946</v>
      </c>
      <c r="AU175" s="125">
        <f t="shared" si="425"/>
        <v>19.43</v>
      </c>
      <c r="AV175" s="124">
        <v>0.64</v>
      </c>
      <c r="AW175" s="125">
        <f t="shared" si="440"/>
        <v>57.634408602150536</v>
      </c>
      <c r="AX175" s="125">
        <f t="shared" si="426"/>
        <v>42.88</v>
      </c>
      <c r="AY175" s="124">
        <v>0.64</v>
      </c>
      <c r="AZ175" s="125">
        <f t="shared" si="441"/>
        <v>57.634408602150536</v>
      </c>
      <c r="BA175" s="125">
        <f t="shared" si="427"/>
        <v>42.88</v>
      </c>
      <c r="BD175" s="139">
        <f t="shared" si="442"/>
        <v>115.71908602150538</v>
      </c>
      <c r="BE175" s="139">
        <f t="shared" si="455"/>
        <v>86.094999999999999</v>
      </c>
      <c r="BF175" s="139">
        <f t="shared" si="444"/>
        <v>32.419354838709673</v>
      </c>
      <c r="BG175" s="139">
        <f t="shared" si="456"/>
        <v>24.119999999999997</v>
      </c>
      <c r="BH175" s="139">
        <f t="shared" si="446"/>
        <v>72.043010752688161</v>
      </c>
      <c r="BI175" s="139">
        <f t="shared" si="447"/>
        <v>53.599999999999994</v>
      </c>
      <c r="BJ175" s="139">
        <f t="shared" si="448"/>
        <v>72.043010752688161</v>
      </c>
      <c r="BK175" s="139">
        <f t="shared" ref="BK175:BK177" si="457">(U175+BA175)/2</f>
        <v>53.599999999999994</v>
      </c>
    </row>
    <row r="176" spans="1:63" ht="14.4">
      <c r="A176" s="126" t="s">
        <v>60</v>
      </c>
      <c r="B176" s="118">
        <v>30</v>
      </c>
      <c r="C176" s="118">
        <f t="shared" si="428"/>
        <v>720</v>
      </c>
      <c r="D176" s="122">
        <f t="shared" si="416"/>
        <v>43.055555555555557</v>
      </c>
      <c r="E176" s="118">
        <v>31</v>
      </c>
      <c r="H176" s="123"/>
      <c r="J176" s="124">
        <v>1.53</v>
      </c>
      <c r="K176" s="125">
        <f t="shared" si="429"/>
        <v>65.875</v>
      </c>
      <c r="L176" s="125">
        <f t="shared" si="430"/>
        <v>47.43</v>
      </c>
      <c r="M176" s="124">
        <v>0.45</v>
      </c>
      <c r="N176" s="125">
        <f t="shared" si="417"/>
        <v>19.375</v>
      </c>
      <c r="O176" s="125">
        <f t="shared" si="431"/>
        <v>13.950000000000001</v>
      </c>
      <c r="P176" s="124">
        <v>0.98</v>
      </c>
      <c r="Q176" s="125">
        <f t="shared" si="418"/>
        <v>42.194444444444443</v>
      </c>
      <c r="R176" s="125">
        <f t="shared" si="432"/>
        <v>30.38</v>
      </c>
      <c r="S176" s="124">
        <v>0.98</v>
      </c>
      <c r="T176" s="125">
        <f t="shared" si="419"/>
        <v>42.194444444444443</v>
      </c>
      <c r="U176" s="125">
        <f t="shared" si="433"/>
        <v>30.38</v>
      </c>
      <c r="X176" s="123"/>
      <c r="Y176" s="123"/>
      <c r="Z176" s="124">
        <v>1.76</v>
      </c>
      <c r="AA176" s="125">
        <f t="shared" si="450"/>
        <v>75.777777777777786</v>
      </c>
      <c r="AB176" s="125">
        <f t="shared" si="420"/>
        <v>54.56</v>
      </c>
      <c r="AC176" s="124">
        <v>0.39</v>
      </c>
      <c r="AD176" s="125">
        <f t="shared" si="451"/>
        <v>16.791666666666668</v>
      </c>
      <c r="AE176" s="125">
        <f t="shared" si="421"/>
        <v>12.09</v>
      </c>
      <c r="AF176" s="124">
        <v>0.85</v>
      </c>
      <c r="AG176" s="125">
        <f t="shared" si="452"/>
        <v>36.597222222222221</v>
      </c>
      <c r="AH176" s="125">
        <f t="shared" si="422"/>
        <v>26.349999999999998</v>
      </c>
      <c r="AI176" s="124">
        <v>0.85</v>
      </c>
      <c r="AJ176" s="125">
        <f t="shared" si="453"/>
        <v>36.597222222222221</v>
      </c>
      <c r="AK176" s="125">
        <f t="shared" si="423"/>
        <v>26.349999999999998</v>
      </c>
      <c r="AL176" s="162"/>
      <c r="AN176" s="123"/>
      <c r="AO176" s="123"/>
      <c r="AP176" s="124">
        <v>1.62</v>
      </c>
      <c r="AQ176" s="125">
        <f t="shared" si="438"/>
        <v>69.750000000000014</v>
      </c>
      <c r="AR176" s="125">
        <f t="shared" si="424"/>
        <v>50.220000000000006</v>
      </c>
      <c r="AS176" s="124">
        <v>0.35</v>
      </c>
      <c r="AT176" s="125">
        <f t="shared" si="439"/>
        <v>15.069444444444445</v>
      </c>
      <c r="AU176" s="125">
        <f t="shared" si="425"/>
        <v>10.85</v>
      </c>
      <c r="AV176" s="124">
        <v>0.64</v>
      </c>
      <c r="AW176" s="125">
        <f t="shared" si="440"/>
        <v>27.555555555555557</v>
      </c>
      <c r="AX176" s="125">
        <f t="shared" si="426"/>
        <v>19.84</v>
      </c>
      <c r="AY176" s="124">
        <v>0.64</v>
      </c>
      <c r="AZ176" s="125">
        <f t="shared" si="441"/>
        <v>27.555555555555557</v>
      </c>
      <c r="BA176" s="125">
        <f t="shared" si="427"/>
        <v>19.84</v>
      </c>
      <c r="BD176" s="139">
        <f t="shared" si="442"/>
        <v>67.8125</v>
      </c>
      <c r="BE176" s="139">
        <f t="shared" si="455"/>
        <v>48.825000000000003</v>
      </c>
      <c r="BF176" s="139">
        <f t="shared" si="444"/>
        <v>17.222222222222221</v>
      </c>
      <c r="BG176" s="139">
        <f t="shared" si="456"/>
        <v>12.4</v>
      </c>
      <c r="BH176" s="139">
        <f t="shared" si="446"/>
        <v>34.875</v>
      </c>
      <c r="BI176" s="139">
        <f t="shared" si="447"/>
        <v>25.11</v>
      </c>
      <c r="BJ176" s="139">
        <f t="shared" si="448"/>
        <v>34.875</v>
      </c>
      <c r="BK176" s="139">
        <f>(U176+BA176)/2</f>
        <v>25.11</v>
      </c>
    </row>
    <row r="177" spans="1:63" ht="15" thickBot="1">
      <c r="A177" s="127" t="s">
        <v>61</v>
      </c>
      <c r="B177" s="118">
        <v>31</v>
      </c>
      <c r="C177" s="118">
        <f t="shared" si="428"/>
        <v>744</v>
      </c>
      <c r="D177" s="122">
        <f t="shared" si="416"/>
        <v>29.56989247311828</v>
      </c>
      <c r="E177" s="118">
        <v>22</v>
      </c>
      <c r="H177" s="123"/>
      <c r="J177" s="124">
        <v>1.81</v>
      </c>
      <c r="K177" s="125">
        <f t="shared" si="429"/>
        <v>53.521505376344088</v>
      </c>
      <c r="L177" s="125">
        <f t="shared" si="430"/>
        <v>39.82</v>
      </c>
      <c r="M177" s="124">
        <v>0.45</v>
      </c>
      <c r="N177" s="125">
        <f t="shared" si="417"/>
        <v>13.306451612903226</v>
      </c>
      <c r="O177" s="125">
        <f t="shared" si="431"/>
        <v>9.9</v>
      </c>
      <c r="P177" s="124">
        <v>1</v>
      </c>
      <c r="Q177" s="125">
        <f t="shared" si="418"/>
        <v>29.56989247311828</v>
      </c>
      <c r="R177" s="125">
        <f t="shared" si="432"/>
        <v>22</v>
      </c>
      <c r="S177" s="124">
        <v>1</v>
      </c>
      <c r="T177" s="125">
        <f t="shared" si="419"/>
        <v>29.56989247311828</v>
      </c>
      <c r="U177" s="125">
        <f t="shared" si="433"/>
        <v>22</v>
      </c>
      <c r="X177" s="123"/>
      <c r="Y177" s="123"/>
      <c r="Z177" s="124">
        <v>2.23</v>
      </c>
      <c r="AA177" s="125">
        <f t="shared" si="450"/>
        <v>65.94086021505376</v>
      </c>
      <c r="AB177" s="125">
        <f t="shared" si="420"/>
        <v>49.06</v>
      </c>
      <c r="AC177" s="124">
        <v>0.42</v>
      </c>
      <c r="AD177" s="125">
        <f t="shared" si="451"/>
        <v>12.419354838709678</v>
      </c>
      <c r="AE177" s="125">
        <f t="shared" si="421"/>
        <v>9.24</v>
      </c>
      <c r="AF177" s="124">
        <v>0.9</v>
      </c>
      <c r="AG177" s="125">
        <f t="shared" si="452"/>
        <v>26.612903225806452</v>
      </c>
      <c r="AH177" s="125">
        <f t="shared" si="422"/>
        <v>19.8</v>
      </c>
      <c r="AI177" s="124">
        <v>0.9</v>
      </c>
      <c r="AJ177" s="125">
        <f t="shared" si="453"/>
        <v>26.612903225806452</v>
      </c>
      <c r="AK177" s="125">
        <f t="shared" si="423"/>
        <v>19.8</v>
      </c>
      <c r="AL177" s="162"/>
      <c r="AN177" s="123"/>
      <c r="AO177" s="123"/>
      <c r="AP177" s="124">
        <v>2.19</v>
      </c>
      <c r="AQ177" s="125">
        <f t="shared" si="438"/>
        <v>64.758064516129025</v>
      </c>
      <c r="AR177" s="125">
        <f t="shared" si="424"/>
        <v>48.18</v>
      </c>
      <c r="AS177" s="124">
        <v>0.43</v>
      </c>
      <c r="AT177" s="125">
        <f t="shared" si="439"/>
        <v>12.71505376344086</v>
      </c>
      <c r="AU177" s="125">
        <f t="shared" si="425"/>
        <v>9.4599999999999991</v>
      </c>
      <c r="AV177" s="124">
        <v>0.75</v>
      </c>
      <c r="AW177" s="125">
        <f t="shared" si="440"/>
        <v>22.177419354838712</v>
      </c>
      <c r="AX177" s="125">
        <f t="shared" si="426"/>
        <v>16.5</v>
      </c>
      <c r="AY177" s="124">
        <v>0.75</v>
      </c>
      <c r="AZ177" s="125">
        <f t="shared" si="441"/>
        <v>22.177419354838712</v>
      </c>
      <c r="BA177" s="125">
        <f t="shared" si="427"/>
        <v>16.5</v>
      </c>
      <c r="BD177" s="139">
        <f t="shared" si="442"/>
        <v>59.13978494623656</v>
      </c>
      <c r="BE177" s="139">
        <f t="shared" si="455"/>
        <v>44</v>
      </c>
      <c r="BF177" s="139">
        <f t="shared" si="444"/>
        <v>13.010752688172044</v>
      </c>
      <c r="BG177" s="139">
        <f t="shared" si="456"/>
        <v>9.68</v>
      </c>
      <c r="BH177" s="139">
        <f t="shared" si="446"/>
        <v>25.873655913978496</v>
      </c>
      <c r="BI177" s="139">
        <f t="shared" si="447"/>
        <v>19.25</v>
      </c>
      <c r="BJ177" s="139">
        <f t="shared" si="448"/>
        <v>25.873655913978496</v>
      </c>
      <c r="BK177" s="139">
        <f t="shared" si="457"/>
        <v>19.25</v>
      </c>
    </row>
    <row r="179" spans="1:63">
      <c r="A179" s="128" t="s">
        <v>201</v>
      </c>
      <c r="B179" s="120" t="s">
        <v>172</v>
      </c>
      <c r="C179" s="120" t="s">
        <v>173</v>
      </c>
      <c r="E179" s="120" t="s">
        <v>174</v>
      </c>
      <c r="F179" s="120"/>
      <c r="G179" s="120"/>
      <c r="J179" s="305" t="s">
        <v>177</v>
      </c>
      <c r="K179" s="306"/>
      <c r="L179" s="307"/>
      <c r="M179" s="305" t="s">
        <v>178</v>
      </c>
      <c r="N179" s="306"/>
      <c r="O179" s="307"/>
      <c r="P179" s="305" t="s">
        <v>179</v>
      </c>
      <c r="Q179" s="306"/>
      <c r="R179" s="306"/>
      <c r="S179" s="308" t="s">
        <v>180</v>
      </c>
      <c r="T179" s="308"/>
      <c r="U179" s="308"/>
      <c r="Z179" s="305" t="s">
        <v>177</v>
      </c>
      <c r="AA179" s="306"/>
      <c r="AB179" s="307"/>
      <c r="AC179" s="305" t="s">
        <v>178</v>
      </c>
      <c r="AD179" s="306"/>
      <c r="AE179" s="307"/>
      <c r="AF179" s="305" t="s">
        <v>179</v>
      </c>
      <c r="AG179" s="306"/>
      <c r="AH179" s="306"/>
      <c r="AI179" s="308" t="s">
        <v>180</v>
      </c>
      <c r="AJ179" s="308"/>
      <c r="AK179" s="308"/>
      <c r="AL179" s="128"/>
      <c r="AP179" s="305" t="s">
        <v>177</v>
      </c>
      <c r="AQ179" s="306"/>
      <c r="AR179" s="307"/>
      <c r="AS179" s="305" t="s">
        <v>178</v>
      </c>
      <c r="AT179" s="306"/>
      <c r="AU179" s="307"/>
      <c r="AV179" s="305" t="s">
        <v>179</v>
      </c>
      <c r="AW179" s="306"/>
      <c r="AX179" s="306"/>
      <c r="AY179" s="308" t="s">
        <v>180</v>
      </c>
      <c r="AZ179" s="308"/>
      <c r="BA179" s="308"/>
      <c r="BD179" s="310" t="s">
        <v>177</v>
      </c>
      <c r="BE179" s="311"/>
      <c r="BF179" s="310" t="s">
        <v>178</v>
      </c>
      <c r="BG179" s="311"/>
      <c r="BH179" s="310" t="s">
        <v>181</v>
      </c>
      <c r="BI179" s="311"/>
      <c r="BJ179" s="308" t="s">
        <v>180</v>
      </c>
      <c r="BK179" s="308"/>
    </row>
    <row r="180" spans="1:63" ht="13.8" thickBot="1">
      <c r="D180" s="118" t="s">
        <v>176</v>
      </c>
      <c r="E180" s="118" t="s">
        <v>175</v>
      </c>
      <c r="J180" s="117" t="s">
        <v>205</v>
      </c>
      <c r="K180" s="117" t="s">
        <v>176</v>
      </c>
      <c r="L180" s="117" t="s">
        <v>175</v>
      </c>
      <c r="M180" s="117" t="s">
        <v>205</v>
      </c>
      <c r="N180" s="117" t="s">
        <v>176</v>
      </c>
      <c r="O180" s="117" t="s">
        <v>175</v>
      </c>
      <c r="P180" s="117" t="s">
        <v>205</v>
      </c>
      <c r="Q180" s="117" t="s">
        <v>176</v>
      </c>
      <c r="R180" s="117" t="s">
        <v>175</v>
      </c>
      <c r="S180" s="137" t="s">
        <v>205</v>
      </c>
      <c r="T180" s="137" t="s">
        <v>176</v>
      </c>
      <c r="U180" s="137" t="s">
        <v>175</v>
      </c>
      <c r="Z180" s="117" t="s">
        <v>205</v>
      </c>
      <c r="AA180" s="117" t="s">
        <v>176</v>
      </c>
      <c r="AB180" s="117" t="s">
        <v>175</v>
      </c>
      <c r="AC180" s="117" t="s">
        <v>205</v>
      </c>
      <c r="AD180" s="117" t="s">
        <v>176</v>
      </c>
      <c r="AE180" s="117" t="s">
        <v>175</v>
      </c>
      <c r="AF180" s="117" t="s">
        <v>205</v>
      </c>
      <c r="AG180" s="117" t="s">
        <v>176</v>
      </c>
      <c r="AH180" s="117" t="s">
        <v>175</v>
      </c>
      <c r="AI180" s="137" t="s">
        <v>205</v>
      </c>
      <c r="AJ180" s="137" t="s">
        <v>176</v>
      </c>
      <c r="AK180" s="137" t="s">
        <v>175</v>
      </c>
      <c r="AP180" s="117" t="s">
        <v>205</v>
      </c>
      <c r="AQ180" s="117" t="s">
        <v>176</v>
      </c>
      <c r="AR180" s="117" t="s">
        <v>175</v>
      </c>
      <c r="AS180" s="117" t="s">
        <v>205</v>
      </c>
      <c r="AT180" s="117" t="s">
        <v>176</v>
      </c>
      <c r="AU180" s="117" t="s">
        <v>175</v>
      </c>
      <c r="AV180" s="117" t="s">
        <v>205</v>
      </c>
      <c r="AW180" s="117" t="s">
        <v>176</v>
      </c>
      <c r="AX180" s="117" t="s">
        <v>175</v>
      </c>
      <c r="AY180" s="137" t="s">
        <v>205</v>
      </c>
      <c r="AZ180" s="137" t="s">
        <v>176</v>
      </c>
      <c r="BA180" s="137" t="s">
        <v>175</v>
      </c>
      <c r="BD180" s="137" t="s">
        <v>176</v>
      </c>
      <c r="BE180" s="137" t="s">
        <v>175</v>
      </c>
      <c r="BF180" s="137" t="s">
        <v>176</v>
      </c>
      <c r="BG180" s="137" t="s">
        <v>175</v>
      </c>
      <c r="BH180" s="137" t="s">
        <v>176</v>
      </c>
      <c r="BI180" s="137" t="s">
        <v>175</v>
      </c>
      <c r="BJ180" s="137" t="s">
        <v>176</v>
      </c>
      <c r="BK180" s="137" t="s">
        <v>175</v>
      </c>
    </row>
    <row r="181" spans="1:63" ht="14.4">
      <c r="A181" s="121" t="s">
        <v>55</v>
      </c>
      <c r="B181" s="118">
        <v>31</v>
      </c>
      <c r="C181" s="118">
        <f>B181*24</f>
        <v>744</v>
      </c>
      <c r="D181" s="122">
        <f t="shared" ref="D181:D192" si="458">E181*1000/C181</f>
        <v>34.946236559139784</v>
      </c>
      <c r="E181" s="118">
        <v>26</v>
      </c>
      <c r="H181" s="123"/>
      <c r="J181" s="124">
        <v>1.61</v>
      </c>
      <c r="K181" s="125">
        <f t="shared" ref="K181:K192" si="459">J181*D181</f>
        <v>56.263440860215056</v>
      </c>
      <c r="L181" s="125">
        <f>$E181*J181</f>
        <v>41.86</v>
      </c>
      <c r="M181" s="124">
        <v>0.52</v>
      </c>
      <c r="N181" s="125">
        <f t="shared" ref="N181:N192" si="460">M181*D181</f>
        <v>18.172043010752688</v>
      </c>
      <c r="O181" s="125">
        <f>$E181*M181</f>
        <v>13.52</v>
      </c>
      <c r="P181" s="124">
        <v>1</v>
      </c>
      <c r="Q181" s="125">
        <f t="shared" ref="Q181:Q192" si="461">P181*D181</f>
        <v>34.946236559139784</v>
      </c>
      <c r="R181" s="125">
        <f>$E181*P181</f>
        <v>26</v>
      </c>
      <c r="S181" s="124">
        <v>1</v>
      </c>
      <c r="T181" s="125">
        <f t="shared" ref="T181:T192" si="462">S181*D181</f>
        <v>34.946236559139784</v>
      </c>
      <c r="U181" s="125">
        <f>$E181*S181</f>
        <v>26</v>
      </c>
      <c r="X181" s="123"/>
      <c r="Y181" s="123"/>
      <c r="Z181" s="124">
        <v>1.94</v>
      </c>
      <c r="AA181" s="125">
        <f>Z181*$D181</f>
        <v>67.795698924731184</v>
      </c>
      <c r="AB181" s="125">
        <f t="shared" ref="AB181:AB192" si="463">$E181*Z181</f>
        <v>50.44</v>
      </c>
      <c r="AC181" s="124">
        <v>0.51</v>
      </c>
      <c r="AD181" s="125">
        <f>AC181*$D181</f>
        <v>17.822580645161292</v>
      </c>
      <c r="AE181" s="125">
        <f t="shared" ref="AE181:AE192" si="464">$E181*AC181</f>
        <v>13.26</v>
      </c>
      <c r="AF181" s="124">
        <v>0.95</v>
      </c>
      <c r="AG181" s="125">
        <f>AF181*$D181</f>
        <v>33.198924731182792</v>
      </c>
      <c r="AH181" s="125">
        <f t="shared" ref="AH181:AH192" si="465">$E181*AF181</f>
        <v>24.7</v>
      </c>
      <c r="AI181" s="124">
        <v>0.95</v>
      </c>
      <c r="AJ181" s="125">
        <f>AI181*$D181</f>
        <v>33.198924731182792</v>
      </c>
      <c r="AK181" s="125">
        <f t="shared" ref="AK181:AK192" si="466">$E181*AI181</f>
        <v>24.7</v>
      </c>
      <c r="AL181" s="162"/>
      <c r="AN181" s="123"/>
      <c r="AO181" s="123"/>
      <c r="AP181" s="124">
        <v>1.92</v>
      </c>
      <c r="AQ181" s="125">
        <f>AP181*$D181</f>
        <v>67.096774193548384</v>
      </c>
      <c r="AR181" s="125">
        <f t="shared" ref="AR181:AR192" si="467">$E181*AP181</f>
        <v>49.92</v>
      </c>
      <c r="AS181" s="124">
        <v>0.55000000000000004</v>
      </c>
      <c r="AT181" s="125">
        <f>AS181*$D181</f>
        <v>19.220430107526884</v>
      </c>
      <c r="AU181" s="125">
        <f t="shared" ref="AU181:AU192" si="468">$E181*AS181</f>
        <v>14.3</v>
      </c>
      <c r="AV181" s="124">
        <v>0.85</v>
      </c>
      <c r="AW181" s="125">
        <f>AV181*$D181</f>
        <v>29.704301075268816</v>
      </c>
      <c r="AX181" s="125">
        <f t="shared" ref="AX181:AX192" si="469">$E181*AV181</f>
        <v>22.099999999999998</v>
      </c>
      <c r="AY181" s="124">
        <v>0.85</v>
      </c>
      <c r="AZ181" s="125">
        <f>AY181*$D181</f>
        <v>29.704301075268816</v>
      </c>
      <c r="BA181" s="125">
        <f t="shared" ref="BA181:BA192" si="470">$E181*AY181</f>
        <v>22.099999999999998</v>
      </c>
      <c r="BD181" s="139">
        <f>(K181+AQ181)/2</f>
        <v>61.68010752688172</v>
      </c>
      <c r="BE181" s="139">
        <f>(L181+AR181)/2</f>
        <v>45.89</v>
      </c>
      <c r="BF181" s="139">
        <f>(N181+AT181)/2</f>
        <v>18.696236559139784</v>
      </c>
      <c r="BG181" s="139">
        <f>(O181+AU181)/2</f>
        <v>13.91</v>
      </c>
      <c r="BH181" s="139">
        <f>(Q181+AW181)/2</f>
        <v>32.325268817204304</v>
      </c>
      <c r="BI181" s="139">
        <f>(R181+AX181)/2</f>
        <v>24.049999999999997</v>
      </c>
      <c r="BJ181" s="139">
        <f>(T181+AZ181)/2</f>
        <v>32.325268817204304</v>
      </c>
      <c r="BK181" s="139">
        <f>(U181+BA181)/2</f>
        <v>24.049999999999997</v>
      </c>
    </row>
    <row r="182" spans="1:63" ht="14.4">
      <c r="A182" s="126" t="s">
        <v>56</v>
      </c>
      <c r="B182" s="118">
        <v>28</v>
      </c>
      <c r="C182" s="118">
        <f t="shared" ref="C182:C192" si="471">B182*24</f>
        <v>672</v>
      </c>
      <c r="D182" s="122">
        <f t="shared" si="458"/>
        <v>72.916666666666671</v>
      </c>
      <c r="E182" s="118">
        <v>49</v>
      </c>
      <c r="H182" s="123"/>
      <c r="J182" s="124">
        <v>1.45</v>
      </c>
      <c r="K182" s="125">
        <f t="shared" si="459"/>
        <v>105.72916666666667</v>
      </c>
      <c r="L182" s="125">
        <f t="shared" ref="L182:L192" si="472">$E182*J182</f>
        <v>71.05</v>
      </c>
      <c r="M182" s="124">
        <v>0.45</v>
      </c>
      <c r="N182" s="125">
        <f t="shared" si="460"/>
        <v>32.8125</v>
      </c>
      <c r="O182" s="125">
        <f t="shared" ref="O182:O192" si="473">$E182*M182</f>
        <v>22.05</v>
      </c>
      <c r="P182" s="124">
        <v>0.98</v>
      </c>
      <c r="Q182" s="125">
        <f t="shared" si="461"/>
        <v>71.458333333333343</v>
      </c>
      <c r="R182" s="125">
        <f t="shared" ref="R182:R192" si="474">$E182*P182</f>
        <v>48.019999999999996</v>
      </c>
      <c r="S182" s="124">
        <v>0.98</v>
      </c>
      <c r="T182" s="125">
        <f t="shared" si="462"/>
        <v>71.458333333333343</v>
      </c>
      <c r="U182" s="125">
        <f t="shared" ref="U182:U192" si="475">$E182*S182</f>
        <v>48.019999999999996</v>
      </c>
      <c r="X182" s="123"/>
      <c r="Y182" s="123"/>
      <c r="Z182" s="124">
        <v>1.64</v>
      </c>
      <c r="AA182" s="125">
        <f t="shared" ref="AA182:AA183" si="476">Z182*$D182</f>
        <v>119.58333333333333</v>
      </c>
      <c r="AB182" s="125">
        <f t="shared" si="463"/>
        <v>80.36</v>
      </c>
      <c r="AC182" s="124">
        <v>0.44</v>
      </c>
      <c r="AD182" s="125">
        <f t="shared" ref="AD182:AD183" si="477">AC182*$D182</f>
        <v>32.083333333333336</v>
      </c>
      <c r="AE182" s="125">
        <f t="shared" si="464"/>
        <v>21.56</v>
      </c>
      <c r="AF182" s="124">
        <v>0.92</v>
      </c>
      <c r="AG182" s="125">
        <f t="shared" ref="AG182:AG183" si="478">AF182*$D182</f>
        <v>67.083333333333343</v>
      </c>
      <c r="AH182" s="125">
        <f t="shared" si="465"/>
        <v>45.080000000000005</v>
      </c>
      <c r="AI182" s="124">
        <v>0.92</v>
      </c>
      <c r="AJ182" s="125">
        <f t="shared" ref="AJ182:AJ183" si="479">AI182*$D182</f>
        <v>67.083333333333343</v>
      </c>
      <c r="AK182" s="125">
        <f t="shared" si="466"/>
        <v>45.080000000000005</v>
      </c>
      <c r="AL182" s="162"/>
      <c r="AN182" s="123"/>
      <c r="AO182" s="123"/>
      <c r="AP182" s="124">
        <v>1.54</v>
      </c>
      <c r="AQ182" s="125">
        <f t="shared" ref="AQ182:AQ192" si="480">AP182*$D182</f>
        <v>112.29166666666667</v>
      </c>
      <c r="AR182" s="125">
        <f t="shared" si="467"/>
        <v>75.460000000000008</v>
      </c>
      <c r="AS182" s="124">
        <v>0.47</v>
      </c>
      <c r="AT182" s="125">
        <f t="shared" ref="AT182:AT192" si="481">AS182*$D182</f>
        <v>34.270833333333336</v>
      </c>
      <c r="AU182" s="125">
        <f t="shared" si="468"/>
        <v>23.029999999999998</v>
      </c>
      <c r="AV182" s="124">
        <v>0.8</v>
      </c>
      <c r="AW182" s="125">
        <f t="shared" ref="AW182:AW192" si="482">AV182*$D182</f>
        <v>58.333333333333343</v>
      </c>
      <c r="AX182" s="125">
        <f t="shared" si="469"/>
        <v>39.200000000000003</v>
      </c>
      <c r="AY182" s="124">
        <v>0.8</v>
      </c>
      <c r="AZ182" s="125">
        <f t="shared" ref="AZ182:AZ192" si="483">AY182*$D182</f>
        <v>58.333333333333343</v>
      </c>
      <c r="BA182" s="125">
        <f t="shared" si="470"/>
        <v>39.200000000000003</v>
      </c>
      <c r="BD182" s="139">
        <f t="shared" ref="BD182:BD192" si="484">(K182+AQ182)/2</f>
        <v>109.01041666666667</v>
      </c>
      <c r="BE182" s="139">
        <f t="shared" ref="BE182:BE187" si="485">(L182+AR182)/2</f>
        <v>73.254999999999995</v>
      </c>
      <c r="BF182" s="139">
        <f t="shared" ref="BF182:BF192" si="486">(N182+AT182)/2</f>
        <v>33.541666666666671</v>
      </c>
      <c r="BG182" s="139">
        <f t="shared" ref="BG182:BG187" si="487">(O182+AU182)/2</f>
        <v>22.54</v>
      </c>
      <c r="BH182" s="139">
        <f t="shared" ref="BH182:BH192" si="488">(Q182+AW182)/2</f>
        <v>64.895833333333343</v>
      </c>
      <c r="BI182" s="139">
        <f t="shared" ref="BI182:BI192" si="489">(R182+AX182)/2</f>
        <v>43.61</v>
      </c>
      <c r="BJ182" s="139">
        <f t="shared" ref="BJ182:BJ192" si="490">(T182+AZ182)/2</f>
        <v>64.895833333333343</v>
      </c>
      <c r="BK182" s="139">
        <f t="shared" ref="BK182:BK185" si="491">(U182+BA182)/2</f>
        <v>43.61</v>
      </c>
    </row>
    <row r="183" spans="1:63" ht="14.4">
      <c r="A183" s="126" t="s">
        <v>57</v>
      </c>
      <c r="B183" s="118">
        <v>31</v>
      </c>
      <c r="C183" s="118">
        <f t="shared" si="471"/>
        <v>744</v>
      </c>
      <c r="D183" s="122">
        <f t="shared" si="458"/>
        <v>119.6236559139785</v>
      </c>
      <c r="E183" s="118">
        <v>89</v>
      </c>
      <c r="H183" s="123"/>
      <c r="J183" s="124">
        <v>1.25</v>
      </c>
      <c r="K183" s="125">
        <f t="shared" si="459"/>
        <v>149.52956989247312</v>
      </c>
      <c r="L183" s="125">
        <f t="shared" si="472"/>
        <v>111.25</v>
      </c>
      <c r="M183" s="124">
        <v>0.52</v>
      </c>
      <c r="N183" s="125">
        <f t="shared" si="460"/>
        <v>62.204301075268823</v>
      </c>
      <c r="O183" s="125">
        <f t="shared" si="473"/>
        <v>46.28</v>
      </c>
      <c r="P183" s="124">
        <v>0.96</v>
      </c>
      <c r="Q183" s="125">
        <f t="shared" si="461"/>
        <v>114.83870967741935</v>
      </c>
      <c r="R183" s="125">
        <f t="shared" si="474"/>
        <v>85.44</v>
      </c>
      <c r="S183" s="124">
        <v>0.96</v>
      </c>
      <c r="T183" s="125">
        <f t="shared" si="462"/>
        <v>114.83870967741935</v>
      </c>
      <c r="U183" s="125">
        <f t="shared" si="475"/>
        <v>85.44</v>
      </c>
      <c r="X183" s="123"/>
      <c r="Y183" s="123"/>
      <c r="Z183" s="124">
        <v>1.28</v>
      </c>
      <c r="AA183" s="125">
        <f t="shared" si="476"/>
        <v>153.11827956989248</v>
      </c>
      <c r="AB183" s="125">
        <f t="shared" si="463"/>
        <v>113.92</v>
      </c>
      <c r="AC183" s="124">
        <v>0.35</v>
      </c>
      <c r="AD183" s="125">
        <f t="shared" si="477"/>
        <v>41.868279569892472</v>
      </c>
      <c r="AE183" s="125">
        <f t="shared" si="464"/>
        <v>31.15</v>
      </c>
      <c r="AF183" s="124">
        <v>0.85</v>
      </c>
      <c r="AG183" s="125">
        <f t="shared" si="478"/>
        <v>101.68010752688171</v>
      </c>
      <c r="AH183" s="125">
        <f t="shared" si="465"/>
        <v>75.649999999999991</v>
      </c>
      <c r="AI183" s="124">
        <v>0.85</v>
      </c>
      <c r="AJ183" s="125">
        <f t="shared" si="479"/>
        <v>101.68010752688171</v>
      </c>
      <c r="AK183" s="125">
        <f t="shared" si="466"/>
        <v>75.649999999999991</v>
      </c>
      <c r="AL183" s="162"/>
      <c r="AN183" s="123"/>
      <c r="AO183" s="123"/>
      <c r="AP183" s="124">
        <v>1.06</v>
      </c>
      <c r="AQ183" s="125">
        <f t="shared" si="480"/>
        <v>126.80107526881721</v>
      </c>
      <c r="AR183" s="125">
        <f t="shared" si="467"/>
        <v>94.34</v>
      </c>
      <c r="AS183" s="124">
        <v>0.34</v>
      </c>
      <c r="AT183" s="125">
        <f t="shared" si="481"/>
        <v>40.672043010752688</v>
      </c>
      <c r="AU183" s="125">
        <f t="shared" si="468"/>
        <v>30.26</v>
      </c>
      <c r="AV183" s="124">
        <v>0.67</v>
      </c>
      <c r="AW183" s="125">
        <f t="shared" si="482"/>
        <v>80.147849462365599</v>
      </c>
      <c r="AX183" s="125">
        <f t="shared" si="469"/>
        <v>59.63</v>
      </c>
      <c r="AY183" s="124">
        <v>0.67</v>
      </c>
      <c r="AZ183" s="125">
        <f t="shared" si="483"/>
        <v>80.147849462365599</v>
      </c>
      <c r="BA183" s="125">
        <f t="shared" si="470"/>
        <v>59.63</v>
      </c>
      <c r="BD183" s="139">
        <f t="shared" si="484"/>
        <v>138.16532258064518</v>
      </c>
      <c r="BE183" s="139">
        <f t="shared" si="485"/>
        <v>102.795</v>
      </c>
      <c r="BF183" s="139">
        <f t="shared" si="486"/>
        <v>51.438172043010752</v>
      </c>
      <c r="BG183" s="139">
        <f t="shared" si="487"/>
        <v>38.270000000000003</v>
      </c>
      <c r="BH183" s="139">
        <f t="shared" si="488"/>
        <v>97.493279569892479</v>
      </c>
      <c r="BI183" s="139">
        <f t="shared" si="489"/>
        <v>72.534999999999997</v>
      </c>
      <c r="BJ183" s="139">
        <f t="shared" si="490"/>
        <v>97.493279569892479</v>
      </c>
      <c r="BK183" s="139">
        <f t="shared" si="491"/>
        <v>72.534999999999997</v>
      </c>
    </row>
    <row r="184" spans="1:63" ht="14.4">
      <c r="A184" s="126" t="s">
        <v>58</v>
      </c>
      <c r="B184" s="118">
        <v>30</v>
      </c>
      <c r="C184" s="118">
        <f t="shared" si="471"/>
        <v>720</v>
      </c>
      <c r="D184" s="122">
        <f t="shared" si="458"/>
        <v>186.11111111111111</v>
      </c>
      <c r="E184" s="118">
        <v>134</v>
      </c>
      <c r="H184" s="123"/>
      <c r="J184" s="124">
        <v>1.0900000000000001</v>
      </c>
      <c r="K184" s="125">
        <f t="shared" si="459"/>
        <v>202.86111111111114</v>
      </c>
      <c r="L184" s="125">
        <f t="shared" si="472"/>
        <v>146.06</v>
      </c>
      <c r="M184" s="124">
        <v>0.68</v>
      </c>
      <c r="N184" s="125">
        <f t="shared" si="460"/>
        <v>126.55555555555557</v>
      </c>
      <c r="O184" s="125">
        <f t="shared" si="473"/>
        <v>91.12</v>
      </c>
      <c r="P184" s="124">
        <v>0.94</v>
      </c>
      <c r="Q184" s="125">
        <f t="shared" si="461"/>
        <v>174.94444444444443</v>
      </c>
      <c r="R184" s="125">
        <f t="shared" si="474"/>
        <v>125.96</v>
      </c>
      <c r="S184" s="124">
        <v>0.94</v>
      </c>
      <c r="T184" s="125">
        <f t="shared" si="462"/>
        <v>174.94444444444443</v>
      </c>
      <c r="U184" s="125">
        <f t="shared" si="475"/>
        <v>125.96</v>
      </c>
      <c r="X184" s="123"/>
      <c r="Y184" s="123"/>
      <c r="Z184" s="124">
        <v>0.99</v>
      </c>
      <c r="AA184" s="125">
        <f>Z184*$D184</f>
        <v>184.25</v>
      </c>
      <c r="AB184" s="125">
        <f t="shared" si="463"/>
        <v>132.66</v>
      </c>
      <c r="AC184" s="124">
        <v>0.34</v>
      </c>
      <c r="AD184" s="125">
        <f>AC184*$D184</f>
        <v>63.277777777777786</v>
      </c>
      <c r="AE184" s="125">
        <f t="shared" si="464"/>
        <v>45.56</v>
      </c>
      <c r="AF184" s="124">
        <v>0.81</v>
      </c>
      <c r="AG184" s="125">
        <f>AF184*$D184</f>
        <v>150.75</v>
      </c>
      <c r="AH184" s="125">
        <f t="shared" si="465"/>
        <v>108.54</v>
      </c>
      <c r="AI184" s="124">
        <v>0.81</v>
      </c>
      <c r="AJ184" s="125">
        <f>AI184*$D184</f>
        <v>150.75</v>
      </c>
      <c r="AK184" s="125">
        <f t="shared" si="466"/>
        <v>108.54</v>
      </c>
      <c r="AL184" s="162"/>
      <c r="AN184" s="123"/>
      <c r="AO184" s="123"/>
      <c r="AP184" s="124">
        <v>0.72</v>
      </c>
      <c r="AQ184" s="125">
        <f>AP184*$D184</f>
        <v>134</v>
      </c>
      <c r="AR184" s="125">
        <f t="shared" si="467"/>
        <v>96.47999999999999</v>
      </c>
      <c r="AS184" s="124">
        <v>0.3</v>
      </c>
      <c r="AT184" s="125">
        <f>AS184*$D184</f>
        <v>55.833333333333336</v>
      </c>
      <c r="AU184" s="125">
        <f t="shared" si="468"/>
        <v>40.199999999999996</v>
      </c>
      <c r="AV184" s="124">
        <v>0.59</v>
      </c>
      <c r="AW184" s="125">
        <f>AV184*$D184</f>
        <v>109.80555555555556</v>
      </c>
      <c r="AX184" s="125">
        <f t="shared" si="469"/>
        <v>79.06</v>
      </c>
      <c r="AY184" s="124">
        <v>0.59</v>
      </c>
      <c r="AZ184" s="125">
        <f>AY184*$D184</f>
        <v>109.80555555555556</v>
      </c>
      <c r="BA184" s="125">
        <f t="shared" si="470"/>
        <v>79.06</v>
      </c>
      <c r="BD184" s="139">
        <f t="shared" si="484"/>
        <v>168.43055555555557</v>
      </c>
      <c r="BE184" s="139">
        <f t="shared" si="485"/>
        <v>121.27</v>
      </c>
      <c r="BF184" s="139">
        <f t="shared" si="486"/>
        <v>91.194444444444457</v>
      </c>
      <c r="BG184" s="139">
        <f t="shared" si="487"/>
        <v>65.66</v>
      </c>
      <c r="BH184" s="139">
        <f t="shared" si="488"/>
        <v>142.375</v>
      </c>
      <c r="BI184" s="139">
        <f t="shared" si="489"/>
        <v>102.50999999999999</v>
      </c>
      <c r="BJ184" s="139">
        <f t="shared" si="490"/>
        <v>142.375</v>
      </c>
      <c r="BK184" s="139">
        <f t="shared" si="491"/>
        <v>102.50999999999999</v>
      </c>
    </row>
    <row r="185" spans="1:63" ht="14.4">
      <c r="A185" s="126" t="s">
        <v>183</v>
      </c>
      <c r="B185" s="118">
        <v>31</v>
      </c>
      <c r="C185" s="118">
        <f t="shared" si="471"/>
        <v>744</v>
      </c>
      <c r="D185" s="122">
        <f t="shared" si="458"/>
        <v>219.08602150537635</v>
      </c>
      <c r="E185" s="118">
        <v>163</v>
      </c>
      <c r="H185" s="123"/>
      <c r="J185" s="124">
        <v>1.01</v>
      </c>
      <c r="K185" s="125">
        <f t="shared" si="459"/>
        <v>221.27688172043011</v>
      </c>
      <c r="L185" s="125">
        <f t="shared" si="472"/>
        <v>164.63</v>
      </c>
      <c r="M185" s="124">
        <v>0.79</v>
      </c>
      <c r="N185" s="125">
        <f t="shared" si="460"/>
        <v>173.07795698924733</v>
      </c>
      <c r="O185" s="125">
        <f t="shared" si="473"/>
        <v>128.77000000000001</v>
      </c>
      <c r="P185" s="124">
        <v>0.94</v>
      </c>
      <c r="Q185" s="125">
        <f t="shared" si="461"/>
        <v>205.94086021505376</v>
      </c>
      <c r="R185" s="125">
        <f t="shared" si="474"/>
        <v>153.22</v>
      </c>
      <c r="S185" s="124">
        <v>0.94</v>
      </c>
      <c r="T185" s="125">
        <f t="shared" si="462"/>
        <v>205.94086021505376</v>
      </c>
      <c r="U185" s="125">
        <f t="shared" si="475"/>
        <v>153.22</v>
      </c>
      <c r="X185" s="123"/>
      <c r="Y185" s="123"/>
      <c r="Z185" s="124">
        <v>0.84</v>
      </c>
      <c r="AA185" s="125">
        <f t="shared" ref="AA185:AA192" si="492">Z185*$D185</f>
        <v>184.03225806451613</v>
      </c>
      <c r="AB185" s="125">
        <f t="shared" si="463"/>
        <v>136.91999999999999</v>
      </c>
      <c r="AC185" s="124">
        <v>0.4</v>
      </c>
      <c r="AD185" s="125">
        <f t="shared" ref="AD185:AD192" si="493">AC185*$D185</f>
        <v>87.634408602150543</v>
      </c>
      <c r="AE185" s="125">
        <f t="shared" si="464"/>
        <v>65.2</v>
      </c>
      <c r="AF185" s="124">
        <v>0.79</v>
      </c>
      <c r="AG185" s="125">
        <f t="shared" ref="AG185:AG192" si="494">AF185*$D185</f>
        <v>173.07795698924733</v>
      </c>
      <c r="AH185" s="125">
        <f t="shared" si="465"/>
        <v>128.77000000000001</v>
      </c>
      <c r="AI185" s="124">
        <v>0.79</v>
      </c>
      <c r="AJ185" s="125">
        <f t="shared" ref="AJ185:AJ192" si="495">AI185*$D185</f>
        <v>173.07795698924733</v>
      </c>
      <c r="AK185" s="125">
        <f t="shared" si="466"/>
        <v>128.77000000000001</v>
      </c>
      <c r="AL185" s="162"/>
      <c r="AN185" s="123"/>
      <c r="AO185" s="123"/>
      <c r="AP185" s="124">
        <v>0.55000000000000004</v>
      </c>
      <c r="AQ185" s="125">
        <f t="shared" si="480"/>
        <v>120.49731182795701</v>
      </c>
      <c r="AR185" s="125">
        <f t="shared" si="467"/>
        <v>89.65</v>
      </c>
      <c r="AS185" s="124">
        <v>0.3</v>
      </c>
      <c r="AT185" s="125">
        <f t="shared" si="481"/>
        <v>65.725806451612897</v>
      </c>
      <c r="AU185" s="125">
        <f t="shared" si="468"/>
        <v>48.9</v>
      </c>
      <c r="AV185" s="124">
        <v>0.56000000000000005</v>
      </c>
      <c r="AW185" s="125">
        <f t="shared" si="482"/>
        <v>122.68817204301077</v>
      </c>
      <c r="AX185" s="125">
        <f t="shared" si="469"/>
        <v>91.280000000000015</v>
      </c>
      <c r="AY185" s="124">
        <v>0.56000000000000005</v>
      </c>
      <c r="AZ185" s="125">
        <f t="shared" si="483"/>
        <v>122.68817204301077</v>
      </c>
      <c r="BA185" s="125">
        <f t="shared" si="470"/>
        <v>91.280000000000015</v>
      </c>
      <c r="BD185" s="139">
        <f t="shared" si="484"/>
        <v>170.88709677419357</v>
      </c>
      <c r="BE185" s="139">
        <f t="shared" si="485"/>
        <v>127.14</v>
      </c>
      <c r="BF185" s="139">
        <f t="shared" si="486"/>
        <v>119.40188172043011</v>
      </c>
      <c r="BG185" s="139">
        <f t="shared" si="487"/>
        <v>88.835000000000008</v>
      </c>
      <c r="BH185" s="139">
        <f t="shared" si="488"/>
        <v>164.31451612903226</v>
      </c>
      <c r="BI185" s="139">
        <f t="shared" si="489"/>
        <v>122.25</v>
      </c>
      <c r="BJ185" s="139">
        <f t="shared" si="490"/>
        <v>164.31451612903226</v>
      </c>
      <c r="BK185" s="139">
        <f t="shared" si="491"/>
        <v>122.25</v>
      </c>
    </row>
    <row r="186" spans="1:63" ht="14.4">
      <c r="A186" s="126" t="s">
        <v>184</v>
      </c>
      <c r="B186" s="118">
        <v>30</v>
      </c>
      <c r="C186" s="118">
        <f t="shared" si="471"/>
        <v>720</v>
      </c>
      <c r="D186" s="122">
        <f t="shared" si="458"/>
        <v>247.22222222222223</v>
      </c>
      <c r="E186" s="118">
        <v>178</v>
      </c>
      <c r="H186" s="123"/>
      <c r="I186" s="117" t="s">
        <v>194</v>
      </c>
      <c r="J186" s="124">
        <v>0.97</v>
      </c>
      <c r="K186" s="125">
        <f t="shared" si="459"/>
        <v>239.80555555555554</v>
      </c>
      <c r="L186" s="125">
        <f t="shared" si="472"/>
        <v>172.66</v>
      </c>
      <c r="M186" s="124">
        <v>0.82</v>
      </c>
      <c r="N186" s="125">
        <f t="shared" si="460"/>
        <v>202.72222222222223</v>
      </c>
      <c r="O186" s="125">
        <f t="shared" si="473"/>
        <v>145.95999999999998</v>
      </c>
      <c r="P186" s="124">
        <v>0.93</v>
      </c>
      <c r="Q186" s="125">
        <f t="shared" si="461"/>
        <v>229.91666666666669</v>
      </c>
      <c r="R186" s="125">
        <f t="shared" si="474"/>
        <v>165.54000000000002</v>
      </c>
      <c r="S186" s="124">
        <v>0.93</v>
      </c>
      <c r="T186" s="125">
        <f t="shared" si="462"/>
        <v>229.91666666666669</v>
      </c>
      <c r="U186" s="125">
        <f t="shared" si="475"/>
        <v>165.54000000000002</v>
      </c>
      <c r="W186" s="117" t="s">
        <v>194</v>
      </c>
      <c r="X186" s="123"/>
      <c r="Y186" s="123"/>
      <c r="Z186" s="124">
        <v>0.78</v>
      </c>
      <c r="AA186" s="125">
        <f t="shared" si="492"/>
        <v>192.83333333333334</v>
      </c>
      <c r="AB186" s="125">
        <f t="shared" si="463"/>
        <v>138.84</v>
      </c>
      <c r="AC186" s="124">
        <v>0.45</v>
      </c>
      <c r="AD186" s="125">
        <f t="shared" si="493"/>
        <v>111.25</v>
      </c>
      <c r="AE186" s="125">
        <f t="shared" si="464"/>
        <v>80.100000000000009</v>
      </c>
      <c r="AF186" s="124">
        <v>0.78</v>
      </c>
      <c r="AG186" s="125">
        <f t="shared" si="494"/>
        <v>192.83333333333334</v>
      </c>
      <c r="AH186" s="125">
        <f t="shared" si="465"/>
        <v>138.84</v>
      </c>
      <c r="AI186" s="124">
        <v>0.78</v>
      </c>
      <c r="AJ186" s="125">
        <f t="shared" si="495"/>
        <v>192.83333333333334</v>
      </c>
      <c r="AK186" s="125">
        <f t="shared" si="466"/>
        <v>138.84</v>
      </c>
      <c r="AL186" s="162"/>
      <c r="AM186" s="117" t="s">
        <v>194</v>
      </c>
      <c r="AN186" s="123"/>
      <c r="AO186" s="123"/>
      <c r="AP186" s="124">
        <v>0.5</v>
      </c>
      <c r="AQ186" s="125">
        <f t="shared" si="480"/>
        <v>123.61111111111111</v>
      </c>
      <c r="AR186" s="125">
        <f t="shared" si="467"/>
        <v>89</v>
      </c>
      <c r="AS186" s="124">
        <v>0.32</v>
      </c>
      <c r="AT186" s="125">
        <f t="shared" si="481"/>
        <v>79.111111111111114</v>
      </c>
      <c r="AU186" s="125">
        <f t="shared" si="468"/>
        <v>56.96</v>
      </c>
      <c r="AV186" s="124">
        <v>0.55000000000000004</v>
      </c>
      <c r="AW186" s="125">
        <f t="shared" si="482"/>
        <v>135.97222222222223</v>
      </c>
      <c r="AX186" s="125">
        <f t="shared" si="469"/>
        <v>97.9</v>
      </c>
      <c r="AY186" s="124">
        <v>0.55000000000000004</v>
      </c>
      <c r="AZ186" s="125">
        <f t="shared" si="483"/>
        <v>135.97222222222223</v>
      </c>
      <c r="BA186" s="125">
        <f t="shared" si="470"/>
        <v>97.9</v>
      </c>
      <c r="BC186" s="117" t="s">
        <v>194</v>
      </c>
      <c r="BD186" s="139">
        <f t="shared" si="484"/>
        <v>181.70833333333331</v>
      </c>
      <c r="BE186" s="139">
        <f t="shared" si="485"/>
        <v>130.82999999999998</v>
      </c>
      <c r="BF186" s="139">
        <f t="shared" si="486"/>
        <v>140.91666666666669</v>
      </c>
      <c r="BG186" s="139">
        <f t="shared" si="487"/>
        <v>101.46</v>
      </c>
      <c r="BH186" s="139">
        <f t="shared" si="488"/>
        <v>182.94444444444446</v>
      </c>
      <c r="BI186" s="139">
        <f t="shared" si="489"/>
        <v>131.72000000000003</v>
      </c>
      <c r="BJ186" s="139">
        <f t="shared" si="490"/>
        <v>182.94444444444446</v>
      </c>
      <c r="BK186" s="139">
        <f>(U186+BA186)/2</f>
        <v>131.72000000000003</v>
      </c>
    </row>
    <row r="187" spans="1:63" ht="14.4">
      <c r="A187" s="126" t="s">
        <v>185</v>
      </c>
      <c r="B187" s="118">
        <v>31</v>
      </c>
      <c r="C187" s="118">
        <f t="shared" si="471"/>
        <v>744</v>
      </c>
      <c r="D187" s="122">
        <f t="shared" si="458"/>
        <v>229.83870967741936</v>
      </c>
      <c r="E187" s="118">
        <v>171</v>
      </c>
      <c r="H187" s="123"/>
      <c r="I187" s="117" t="s">
        <v>243</v>
      </c>
      <c r="J187" s="124">
        <v>0.98</v>
      </c>
      <c r="K187" s="125">
        <f t="shared" si="459"/>
        <v>225.24193548387098</v>
      </c>
      <c r="L187" s="125">
        <f t="shared" si="472"/>
        <v>167.57999999999998</v>
      </c>
      <c r="M187" s="124">
        <v>0.81</v>
      </c>
      <c r="N187" s="125">
        <f t="shared" si="460"/>
        <v>186.16935483870969</v>
      </c>
      <c r="O187" s="125">
        <f t="shared" si="473"/>
        <v>138.51000000000002</v>
      </c>
      <c r="P187" s="124">
        <v>0.93</v>
      </c>
      <c r="Q187" s="125">
        <f t="shared" si="461"/>
        <v>213.75000000000003</v>
      </c>
      <c r="R187" s="125">
        <f t="shared" si="474"/>
        <v>159.03</v>
      </c>
      <c r="S187" s="124">
        <v>0.93</v>
      </c>
      <c r="T187" s="125">
        <f t="shared" si="462"/>
        <v>213.75000000000003</v>
      </c>
      <c r="U187" s="125">
        <f t="shared" si="475"/>
        <v>159.03</v>
      </c>
      <c r="W187" s="117" t="s">
        <v>243</v>
      </c>
      <c r="X187" s="123"/>
      <c r="Y187" s="123"/>
      <c r="Z187" s="124">
        <v>0.81</v>
      </c>
      <c r="AA187" s="125">
        <f t="shared" si="492"/>
        <v>186.16935483870969</v>
      </c>
      <c r="AB187" s="125">
        <f t="shared" si="463"/>
        <v>138.51000000000002</v>
      </c>
      <c r="AC187" s="124">
        <v>0.42</v>
      </c>
      <c r="AD187" s="125">
        <f t="shared" si="493"/>
        <v>96.532258064516128</v>
      </c>
      <c r="AE187" s="125">
        <f t="shared" si="464"/>
        <v>71.819999999999993</v>
      </c>
      <c r="AF187" s="124">
        <v>0.78</v>
      </c>
      <c r="AG187" s="125">
        <f t="shared" si="494"/>
        <v>179.2741935483871</v>
      </c>
      <c r="AH187" s="125">
        <f t="shared" si="465"/>
        <v>133.38</v>
      </c>
      <c r="AI187" s="124">
        <v>0.78</v>
      </c>
      <c r="AJ187" s="125">
        <f t="shared" si="495"/>
        <v>179.2741935483871</v>
      </c>
      <c r="AK187" s="125">
        <f t="shared" si="466"/>
        <v>133.38</v>
      </c>
      <c r="AL187" s="162"/>
      <c r="AM187" s="117" t="s">
        <v>243</v>
      </c>
      <c r="AN187" s="123"/>
      <c r="AO187" s="123"/>
      <c r="AP187" s="124">
        <v>0.52</v>
      </c>
      <c r="AQ187" s="125">
        <f t="shared" si="480"/>
        <v>119.51612903225806</v>
      </c>
      <c r="AR187" s="125">
        <f t="shared" si="467"/>
        <v>88.92</v>
      </c>
      <c r="AS187" s="124">
        <v>0.31</v>
      </c>
      <c r="AT187" s="125">
        <f t="shared" si="481"/>
        <v>71.25</v>
      </c>
      <c r="AU187" s="125">
        <f t="shared" si="468"/>
        <v>53.01</v>
      </c>
      <c r="AV187" s="124">
        <v>0.55000000000000004</v>
      </c>
      <c r="AW187" s="125">
        <f t="shared" si="482"/>
        <v>126.41129032258065</v>
      </c>
      <c r="AX187" s="125">
        <f t="shared" si="469"/>
        <v>94.050000000000011</v>
      </c>
      <c r="AY187" s="124">
        <v>0.55000000000000004</v>
      </c>
      <c r="AZ187" s="125">
        <f t="shared" si="483"/>
        <v>126.41129032258065</v>
      </c>
      <c r="BA187" s="125">
        <f t="shared" si="470"/>
        <v>94.050000000000011</v>
      </c>
      <c r="BC187" s="117" t="s">
        <v>243</v>
      </c>
      <c r="BD187" s="139">
        <f t="shared" si="484"/>
        <v>172.37903225806451</v>
      </c>
      <c r="BE187" s="139">
        <f t="shared" si="485"/>
        <v>128.25</v>
      </c>
      <c r="BF187" s="139">
        <f t="shared" si="486"/>
        <v>128.70967741935485</v>
      </c>
      <c r="BG187" s="139">
        <f t="shared" si="487"/>
        <v>95.76</v>
      </c>
      <c r="BH187" s="139">
        <f t="shared" si="488"/>
        <v>170.08064516129033</v>
      </c>
      <c r="BI187" s="139">
        <f t="shared" si="489"/>
        <v>126.54</v>
      </c>
      <c r="BJ187" s="139">
        <f t="shared" si="490"/>
        <v>170.08064516129033</v>
      </c>
      <c r="BK187" s="139">
        <f t="shared" ref="BK187:BK188" si="496">(U187+BA187)/2</f>
        <v>126.54</v>
      </c>
    </row>
    <row r="188" spans="1:63" ht="14.4">
      <c r="A188" s="126" t="s">
        <v>186</v>
      </c>
      <c r="B188" s="118">
        <v>31</v>
      </c>
      <c r="C188" s="118">
        <f t="shared" si="471"/>
        <v>744</v>
      </c>
      <c r="D188" s="122">
        <f t="shared" si="458"/>
        <v>200.26881720430109</v>
      </c>
      <c r="E188" s="118">
        <v>149</v>
      </c>
      <c r="H188" s="123"/>
      <c r="J188" s="124">
        <v>1.04</v>
      </c>
      <c r="K188" s="125">
        <f t="shared" si="459"/>
        <v>208.27956989247315</v>
      </c>
      <c r="L188" s="125">
        <f t="shared" si="472"/>
        <v>154.96</v>
      </c>
      <c r="M188" s="124">
        <v>0.73</v>
      </c>
      <c r="N188" s="125">
        <f t="shared" si="460"/>
        <v>146.19623655913978</v>
      </c>
      <c r="O188" s="125">
        <f t="shared" si="473"/>
        <v>108.77</v>
      </c>
      <c r="P188" s="124">
        <v>0.94</v>
      </c>
      <c r="Q188" s="125">
        <f t="shared" si="461"/>
        <v>188.25268817204301</v>
      </c>
      <c r="R188" s="125">
        <f t="shared" si="474"/>
        <v>140.06</v>
      </c>
      <c r="S188" s="124">
        <v>0.94</v>
      </c>
      <c r="T188" s="125">
        <f t="shared" si="462"/>
        <v>188.25268817204301</v>
      </c>
      <c r="U188" s="125">
        <f t="shared" si="475"/>
        <v>140.06</v>
      </c>
      <c r="X188" s="123"/>
      <c r="Y188" s="123"/>
      <c r="Z188" s="124">
        <v>0.91</v>
      </c>
      <c r="AA188" s="125">
        <f t="shared" si="492"/>
        <v>182.24462365591398</v>
      </c>
      <c r="AB188" s="125">
        <f t="shared" si="463"/>
        <v>135.59</v>
      </c>
      <c r="AC188" s="124">
        <v>0.35</v>
      </c>
      <c r="AD188" s="125">
        <f t="shared" si="493"/>
        <v>70.094086021505376</v>
      </c>
      <c r="AE188" s="125">
        <f t="shared" si="464"/>
        <v>52.15</v>
      </c>
      <c r="AF188" s="124">
        <v>0.79</v>
      </c>
      <c r="AG188" s="125">
        <f t="shared" si="494"/>
        <v>158.21236559139786</v>
      </c>
      <c r="AH188" s="125">
        <f t="shared" si="465"/>
        <v>117.71000000000001</v>
      </c>
      <c r="AI188" s="124">
        <v>0.79</v>
      </c>
      <c r="AJ188" s="125">
        <f t="shared" si="495"/>
        <v>158.21236559139786</v>
      </c>
      <c r="AK188" s="125">
        <f t="shared" si="466"/>
        <v>117.71000000000001</v>
      </c>
      <c r="AL188" s="162"/>
      <c r="AN188" s="123"/>
      <c r="AO188" s="123"/>
      <c r="AP188" s="124">
        <v>0.62</v>
      </c>
      <c r="AQ188" s="125">
        <f t="shared" si="480"/>
        <v>124.16666666666667</v>
      </c>
      <c r="AR188" s="125">
        <f t="shared" si="467"/>
        <v>92.38</v>
      </c>
      <c r="AS188" s="124">
        <v>0.3</v>
      </c>
      <c r="AT188" s="125">
        <f t="shared" si="481"/>
        <v>60.08064516129032</v>
      </c>
      <c r="AU188" s="125">
        <f t="shared" si="468"/>
        <v>44.699999999999996</v>
      </c>
      <c r="AV188" s="124">
        <v>0.56999999999999995</v>
      </c>
      <c r="AW188" s="125">
        <f t="shared" si="482"/>
        <v>114.15322580645162</v>
      </c>
      <c r="AX188" s="125">
        <f t="shared" si="469"/>
        <v>84.929999999999993</v>
      </c>
      <c r="AY188" s="124">
        <v>0.56999999999999995</v>
      </c>
      <c r="AZ188" s="125">
        <f t="shared" si="483"/>
        <v>114.15322580645162</v>
      </c>
      <c r="BA188" s="125">
        <f t="shared" si="470"/>
        <v>84.929999999999993</v>
      </c>
      <c r="BD188" s="139">
        <f t="shared" si="484"/>
        <v>166.22311827956992</v>
      </c>
      <c r="BE188" s="139">
        <f>(L188+AR188)/2</f>
        <v>123.67</v>
      </c>
      <c r="BF188" s="139">
        <f t="shared" si="486"/>
        <v>103.13844086021504</v>
      </c>
      <c r="BG188" s="139">
        <f>(O188+AU188)/2</f>
        <v>76.734999999999999</v>
      </c>
      <c r="BH188" s="139">
        <f t="shared" si="488"/>
        <v>151.2029569892473</v>
      </c>
      <c r="BI188" s="139">
        <f t="shared" si="489"/>
        <v>112.495</v>
      </c>
      <c r="BJ188" s="139">
        <f t="shared" si="490"/>
        <v>151.2029569892473</v>
      </c>
      <c r="BK188" s="139">
        <f t="shared" si="496"/>
        <v>112.495</v>
      </c>
    </row>
    <row r="189" spans="1:63" ht="14.4">
      <c r="A189" s="126" t="s">
        <v>187</v>
      </c>
      <c r="B189" s="118">
        <v>30</v>
      </c>
      <c r="C189" s="118">
        <f t="shared" si="471"/>
        <v>720</v>
      </c>
      <c r="D189" s="122">
        <f t="shared" si="458"/>
        <v>154.16666666666666</v>
      </c>
      <c r="E189" s="118">
        <v>111</v>
      </c>
      <c r="H189" s="123"/>
      <c r="J189" s="124">
        <v>1.17</v>
      </c>
      <c r="K189" s="125">
        <f t="shared" si="459"/>
        <v>180.37499999999997</v>
      </c>
      <c r="L189" s="125">
        <f t="shared" si="472"/>
        <v>129.87</v>
      </c>
      <c r="M189" s="124">
        <v>0.59</v>
      </c>
      <c r="N189" s="125">
        <f t="shared" si="460"/>
        <v>90.958333333333329</v>
      </c>
      <c r="O189" s="125">
        <f t="shared" si="473"/>
        <v>65.489999999999995</v>
      </c>
      <c r="P189" s="124">
        <v>0.95</v>
      </c>
      <c r="Q189" s="125">
        <f t="shared" si="461"/>
        <v>146.45833333333331</v>
      </c>
      <c r="R189" s="125">
        <f t="shared" si="474"/>
        <v>105.44999999999999</v>
      </c>
      <c r="S189" s="124">
        <v>0.95</v>
      </c>
      <c r="T189" s="125">
        <f t="shared" si="462"/>
        <v>146.45833333333331</v>
      </c>
      <c r="U189" s="125">
        <f t="shared" si="475"/>
        <v>105.44999999999999</v>
      </c>
      <c r="X189" s="123"/>
      <c r="Y189" s="123"/>
      <c r="Z189" s="124">
        <v>1.1100000000000001</v>
      </c>
      <c r="AA189" s="125">
        <f t="shared" si="492"/>
        <v>171.125</v>
      </c>
      <c r="AB189" s="125">
        <f t="shared" si="463"/>
        <v>123.21000000000001</v>
      </c>
      <c r="AC189" s="124">
        <v>0.31</v>
      </c>
      <c r="AD189" s="125">
        <f t="shared" si="493"/>
        <v>47.791666666666664</v>
      </c>
      <c r="AE189" s="125">
        <f t="shared" si="464"/>
        <v>34.409999999999997</v>
      </c>
      <c r="AF189" s="124">
        <v>0.81</v>
      </c>
      <c r="AG189" s="125">
        <f t="shared" si="494"/>
        <v>124.875</v>
      </c>
      <c r="AH189" s="125">
        <f t="shared" si="465"/>
        <v>89.910000000000011</v>
      </c>
      <c r="AI189" s="124">
        <v>0.81</v>
      </c>
      <c r="AJ189" s="125">
        <f t="shared" si="495"/>
        <v>124.875</v>
      </c>
      <c r="AK189" s="125">
        <f t="shared" si="466"/>
        <v>89.910000000000011</v>
      </c>
      <c r="AL189" s="162"/>
      <c r="AN189" s="123"/>
      <c r="AO189" s="123"/>
      <c r="AP189" s="124">
        <v>0.85</v>
      </c>
      <c r="AQ189" s="125">
        <f t="shared" si="480"/>
        <v>131.04166666666666</v>
      </c>
      <c r="AR189" s="125">
        <f t="shared" si="467"/>
        <v>94.35</v>
      </c>
      <c r="AS189" s="124">
        <v>0.28000000000000003</v>
      </c>
      <c r="AT189" s="125">
        <f t="shared" si="481"/>
        <v>43.166666666666671</v>
      </c>
      <c r="AU189" s="125">
        <f t="shared" si="468"/>
        <v>31.080000000000002</v>
      </c>
      <c r="AV189" s="124">
        <v>0.6</v>
      </c>
      <c r="AW189" s="125">
        <f t="shared" si="482"/>
        <v>92.499999999999986</v>
      </c>
      <c r="AX189" s="125">
        <f t="shared" si="469"/>
        <v>66.599999999999994</v>
      </c>
      <c r="AY189" s="124">
        <v>0.6</v>
      </c>
      <c r="AZ189" s="125">
        <f t="shared" si="483"/>
        <v>92.499999999999986</v>
      </c>
      <c r="BA189" s="125">
        <f t="shared" si="470"/>
        <v>66.599999999999994</v>
      </c>
      <c r="BD189" s="139">
        <f t="shared" si="484"/>
        <v>155.70833333333331</v>
      </c>
      <c r="BE189" s="139">
        <f t="shared" ref="BE189:BE192" si="497">(L189+AR189)/2</f>
        <v>112.11</v>
      </c>
      <c r="BF189" s="139">
        <f t="shared" si="486"/>
        <v>67.0625</v>
      </c>
      <c r="BG189" s="139">
        <f t="shared" ref="BG189:BG192" si="498">(O189+AU189)/2</f>
        <v>48.284999999999997</v>
      </c>
      <c r="BH189" s="139">
        <f t="shared" si="488"/>
        <v>119.47916666666666</v>
      </c>
      <c r="BI189" s="139">
        <f t="shared" si="489"/>
        <v>86.024999999999991</v>
      </c>
      <c r="BJ189" s="139">
        <f t="shared" si="490"/>
        <v>119.47916666666666</v>
      </c>
      <c r="BK189" s="139">
        <f>(U189+BA189)/2</f>
        <v>86.024999999999991</v>
      </c>
    </row>
    <row r="190" spans="1:63" ht="14.4">
      <c r="A190" s="126" t="s">
        <v>59</v>
      </c>
      <c r="B190" s="118">
        <v>31</v>
      </c>
      <c r="C190" s="118">
        <f t="shared" si="471"/>
        <v>744</v>
      </c>
      <c r="D190" s="122">
        <f t="shared" si="458"/>
        <v>87.365591397849457</v>
      </c>
      <c r="E190" s="118">
        <v>65</v>
      </c>
      <c r="H190" s="123"/>
      <c r="J190" s="124">
        <v>1.33</v>
      </c>
      <c r="K190" s="125">
        <f t="shared" si="459"/>
        <v>116.19623655913978</v>
      </c>
      <c r="L190" s="125">
        <f t="shared" si="472"/>
        <v>86.45</v>
      </c>
      <c r="M190" s="124">
        <v>0.45</v>
      </c>
      <c r="N190" s="125">
        <f t="shared" si="460"/>
        <v>39.314516129032256</v>
      </c>
      <c r="O190" s="125">
        <f t="shared" si="473"/>
        <v>29.25</v>
      </c>
      <c r="P190" s="124">
        <v>0.96</v>
      </c>
      <c r="Q190" s="125">
        <f t="shared" si="461"/>
        <v>83.870967741935473</v>
      </c>
      <c r="R190" s="125">
        <f t="shared" si="474"/>
        <v>62.4</v>
      </c>
      <c r="S190" s="124">
        <v>0.96</v>
      </c>
      <c r="T190" s="125">
        <f t="shared" si="462"/>
        <v>83.870967741935473</v>
      </c>
      <c r="U190" s="125">
        <f t="shared" si="475"/>
        <v>62.4</v>
      </c>
      <c r="X190" s="123"/>
      <c r="Y190" s="123"/>
      <c r="Z190" s="124">
        <v>1.4</v>
      </c>
      <c r="AA190" s="125">
        <f t="shared" si="492"/>
        <v>122.31182795698923</v>
      </c>
      <c r="AB190" s="125">
        <f t="shared" si="463"/>
        <v>91</v>
      </c>
      <c r="AC190" s="124">
        <v>0.34</v>
      </c>
      <c r="AD190" s="125">
        <f t="shared" si="493"/>
        <v>29.704301075268816</v>
      </c>
      <c r="AE190" s="125">
        <f t="shared" si="464"/>
        <v>22.1</v>
      </c>
      <c r="AF190" s="124">
        <v>0.84</v>
      </c>
      <c r="AG190" s="125">
        <f t="shared" si="494"/>
        <v>73.387096774193537</v>
      </c>
      <c r="AH190" s="125">
        <f t="shared" si="465"/>
        <v>54.6</v>
      </c>
      <c r="AI190" s="124">
        <v>0.84</v>
      </c>
      <c r="AJ190" s="125">
        <f t="shared" si="495"/>
        <v>73.387096774193537</v>
      </c>
      <c r="AK190" s="125">
        <f t="shared" si="466"/>
        <v>54.6</v>
      </c>
      <c r="AL190" s="162"/>
      <c r="AN190" s="123"/>
      <c r="AO190" s="123"/>
      <c r="AP190" s="124">
        <v>1.19</v>
      </c>
      <c r="AQ190" s="125">
        <f t="shared" si="480"/>
        <v>103.96505376344085</v>
      </c>
      <c r="AR190" s="125">
        <f t="shared" si="467"/>
        <v>77.349999999999994</v>
      </c>
      <c r="AS190" s="124">
        <v>0.3</v>
      </c>
      <c r="AT190" s="125">
        <f t="shared" si="481"/>
        <v>26.209677419354836</v>
      </c>
      <c r="AU190" s="125">
        <f t="shared" si="468"/>
        <v>19.5</v>
      </c>
      <c r="AV190" s="124">
        <v>0.63</v>
      </c>
      <c r="AW190" s="125">
        <f t="shared" si="482"/>
        <v>55.04032258064516</v>
      </c>
      <c r="AX190" s="125">
        <f t="shared" si="469"/>
        <v>40.950000000000003</v>
      </c>
      <c r="AY190" s="124">
        <v>0.63</v>
      </c>
      <c r="AZ190" s="125">
        <f t="shared" si="483"/>
        <v>55.04032258064516</v>
      </c>
      <c r="BA190" s="125">
        <f t="shared" si="470"/>
        <v>40.950000000000003</v>
      </c>
      <c r="BD190" s="139">
        <f t="shared" si="484"/>
        <v>110.08064516129031</v>
      </c>
      <c r="BE190" s="139">
        <f t="shared" si="497"/>
        <v>81.900000000000006</v>
      </c>
      <c r="BF190" s="139">
        <f t="shared" si="486"/>
        <v>32.762096774193544</v>
      </c>
      <c r="BG190" s="139">
        <f t="shared" si="498"/>
        <v>24.375</v>
      </c>
      <c r="BH190" s="139">
        <f t="shared" si="488"/>
        <v>69.45564516129032</v>
      </c>
      <c r="BI190" s="139">
        <f t="shared" si="489"/>
        <v>51.674999999999997</v>
      </c>
      <c r="BJ190" s="139">
        <f t="shared" si="490"/>
        <v>69.45564516129032</v>
      </c>
      <c r="BK190" s="139">
        <f t="shared" ref="BK190:BK192" si="499">(U190+BA190)/2</f>
        <v>51.674999999999997</v>
      </c>
    </row>
    <row r="191" spans="1:63" ht="14.4">
      <c r="A191" s="126" t="s">
        <v>60</v>
      </c>
      <c r="B191" s="118">
        <v>30</v>
      </c>
      <c r="C191" s="118">
        <f t="shared" si="471"/>
        <v>720</v>
      </c>
      <c r="D191" s="122">
        <f t="shared" si="458"/>
        <v>41.666666666666664</v>
      </c>
      <c r="E191" s="118">
        <v>30</v>
      </c>
      <c r="H191" s="123"/>
      <c r="J191" s="124">
        <v>1.52</v>
      </c>
      <c r="K191" s="125">
        <f t="shared" si="459"/>
        <v>63.333333333333329</v>
      </c>
      <c r="L191" s="125">
        <f t="shared" si="472"/>
        <v>45.6</v>
      </c>
      <c r="M191" s="124">
        <v>0.47</v>
      </c>
      <c r="N191" s="125">
        <f t="shared" si="460"/>
        <v>19.583333333333332</v>
      </c>
      <c r="O191" s="125">
        <f t="shared" si="473"/>
        <v>14.1</v>
      </c>
      <c r="P191" s="124">
        <v>0.97</v>
      </c>
      <c r="Q191" s="125">
        <f t="shared" si="461"/>
        <v>40.416666666666664</v>
      </c>
      <c r="R191" s="125">
        <f t="shared" si="474"/>
        <v>29.099999999999998</v>
      </c>
      <c r="S191" s="124">
        <v>0.97</v>
      </c>
      <c r="T191" s="125">
        <f t="shared" si="462"/>
        <v>40.416666666666664</v>
      </c>
      <c r="U191" s="125">
        <f t="shared" si="475"/>
        <v>29.099999999999998</v>
      </c>
      <c r="X191" s="123"/>
      <c r="Y191" s="123"/>
      <c r="Z191" s="124">
        <v>1.75</v>
      </c>
      <c r="AA191" s="125">
        <f t="shared" si="492"/>
        <v>72.916666666666657</v>
      </c>
      <c r="AB191" s="125">
        <f t="shared" si="463"/>
        <v>52.5</v>
      </c>
      <c r="AC191" s="124">
        <v>0.4</v>
      </c>
      <c r="AD191" s="125">
        <f t="shared" si="493"/>
        <v>16.666666666666668</v>
      </c>
      <c r="AE191" s="125">
        <f t="shared" si="464"/>
        <v>12</v>
      </c>
      <c r="AF191" s="124">
        <v>0.86</v>
      </c>
      <c r="AG191" s="125">
        <f t="shared" si="494"/>
        <v>35.833333333333329</v>
      </c>
      <c r="AH191" s="125">
        <f t="shared" si="465"/>
        <v>25.8</v>
      </c>
      <c r="AI191" s="124">
        <v>0.86</v>
      </c>
      <c r="AJ191" s="125">
        <f t="shared" si="495"/>
        <v>35.833333333333329</v>
      </c>
      <c r="AK191" s="125">
        <f t="shared" si="466"/>
        <v>25.8</v>
      </c>
      <c r="AL191" s="162"/>
      <c r="AN191" s="123"/>
      <c r="AO191" s="123"/>
      <c r="AP191" s="124">
        <v>1.62</v>
      </c>
      <c r="AQ191" s="125">
        <f t="shared" si="480"/>
        <v>67.5</v>
      </c>
      <c r="AR191" s="125">
        <f t="shared" si="467"/>
        <v>48.6</v>
      </c>
      <c r="AS191" s="124">
        <v>0.37</v>
      </c>
      <c r="AT191" s="125">
        <f t="shared" si="481"/>
        <v>15.416666666666666</v>
      </c>
      <c r="AU191" s="125">
        <f t="shared" si="468"/>
        <v>11.1</v>
      </c>
      <c r="AV191" s="124">
        <v>0.65</v>
      </c>
      <c r="AW191" s="125">
        <f t="shared" si="482"/>
        <v>27.083333333333332</v>
      </c>
      <c r="AX191" s="125">
        <f t="shared" si="469"/>
        <v>19.5</v>
      </c>
      <c r="AY191" s="124">
        <v>0.65</v>
      </c>
      <c r="AZ191" s="125">
        <f t="shared" si="483"/>
        <v>27.083333333333332</v>
      </c>
      <c r="BA191" s="125">
        <f t="shared" si="470"/>
        <v>19.5</v>
      </c>
      <c r="BD191" s="139">
        <f t="shared" si="484"/>
        <v>65.416666666666657</v>
      </c>
      <c r="BE191" s="139">
        <f t="shared" si="497"/>
        <v>47.1</v>
      </c>
      <c r="BF191" s="139">
        <f t="shared" si="486"/>
        <v>17.5</v>
      </c>
      <c r="BG191" s="139">
        <f t="shared" si="498"/>
        <v>12.6</v>
      </c>
      <c r="BH191" s="139">
        <f t="shared" si="488"/>
        <v>33.75</v>
      </c>
      <c r="BI191" s="139">
        <f t="shared" si="489"/>
        <v>24.299999999999997</v>
      </c>
      <c r="BJ191" s="139">
        <f t="shared" si="490"/>
        <v>33.75</v>
      </c>
      <c r="BK191" s="139">
        <f t="shared" si="499"/>
        <v>24.299999999999997</v>
      </c>
    </row>
    <row r="192" spans="1:63" ht="15" thickBot="1">
      <c r="A192" s="127" t="s">
        <v>61</v>
      </c>
      <c r="B192" s="118">
        <v>31</v>
      </c>
      <c r="C192" s="118">
        <f t="shared" si="471"/>
        <v>744</v>
      </c>
      <c r="D192" s="122">
        <f t="shared" si="458"/>
        <v>26.881720430107528</v>
      </c>
      <c r="E192" s="118">
        <v>20</v>
      </c>
      <c r="H192" s="123"/>
      <c r="J192" s="124">
        <v>1.76</v>
      </c>
      <c r="K192" s="125">
        <f t="shared" si="459"/>
        <v>47.311827956989248</v>
      </c>
      <c r="L192" s="125">
        <f t="shared" si="472"/>
        <v>35.200000000000003</v>
      </c>
      <c r="M192" s="124">
        <v>0.48</v>
      </c>
      <c r="N192" s="125">
        <f t="shared" si="460"/>
        <v>12.903225806451612</v>
      </c>
      <c r="O192" s="125">
        <f t="shared" si="473"/>
        <v>9.6</v>
      </c>
      <c r="P192" s="124">
        <v>0.99</v>
      </c>
      <c r="Q192" s="125">
        <f t="shared" si="461"/>
        <v>26.612903225806452</v>
      </c>
      <c r="R192" s="125">
        <f t="shared" si="474"/>
        <v>19.8</v>
      </c>
      <c r="S192" s="124">
        <v>0.99</v>
      </c>
      <c r="T192" s="125">
        <f t="shared" si="462"/>
        <v>26.612903225806452</v>
      </c>
      <c r="U192" s="125">
        <f t="shared" si="475"/>
        <v>19.8</v>
      </c>
      <c r="X192" s="123"/>
      <c r="Y192" s="123"/>
      <c r="Z192" s="124">
        <v>2.15</v>
      </c>
      <c r="AA192" s="125">
        <f t="shared" si="492"/>
        <v>57.795698924731184</v>
      </c>
      <c r="AB192" s="125">
        <f t="shared" si="463"/>
        <v>43</v>
      </c>
      <c r="AC192" s="124">
        <v>0.46</v>
      </c>
      <c r="AD192" s="125">
        <f t="shared" si="493"/>
        <v>12.365591397849464</v>
      </c>
      <c r="AE192" s="125">
        <f t="shared" si="464"/>
        <v>9.2000000000000011</v>
      </c>
      <c r="AF192" s="124">
        <v>0.9</v>
      </c>
      <c r="AG192" s="125">
        <f t="shared" si="494"/>
        <v>24.193548387096776</v>
      </c>
      <c r="AH192" s="125">
        <f t="shared" si="465"/>
        <v>18</v>
      </c>
      <c r="AI192" s="124">
        <v>0.9</v>
      </c>
      <c r="AJ192" s="125">
        <f t="shared" si="495"/>
        <v>24.193548387096776</v>
      </c>
      <c r="AK192" s="125">
        <f t="shared" si="466"/>
        <v>18</v>
      </c>
      <c r="AL192" s="162"/>
      <c r="AN192" s="123"/>
      <c r="AO192" s="123"/>
      <c r="AP192" s="124">
        <v>2.19</v>
      </c>
      <c r="AQ192" s="125">
        <f t="shared" si="480"/>
        <v>58.870967741935488</v>
      </c>
      <c r="AR192" s="125">
        <f t="shared" si="467"/>
        <v>43.8</v>
      </c>
      <c r="AS192" s="124">
        <v>0.46</v>
      </c>
      <c r="AT192" s="125">
        <f t="shared" si="481"/>
        <v>12.365591397849464</v>
      </c>
      <c r="AU192" s="125">
        <f t="shared" si="468"/>
        <v>9.2000000000000011</v>
      </c>
      <c r="AV192" s="124">
        <v>0.77</v>
      </c>
      <c r="AW192" s="125">
        <f t="shared" si="482"/>
        <v>20.698924731182796</v>
      </c>
      <c r="AX192" s="125">
        <f t="shared" si="469"/>
        <v>15.4</v>
      </c>
      <c r="AY192" s="124">
        <v>0.77</v>
      </c>
      <c r="AZ192" s="125">
        <f t="shared" si="483"/>
        <v>20.698924731182796</v>
      </c>
      <c r="BA192" s="125">
        <f t="shared" si="470"/>
        <v>15.4</v>
      </c>
      <c r="BD192" s="139">
        <f t="shared" si="484"/>
        <v>53.091397849462368</v>
      </c>
      <c r="BE192" s="139">
        <f t="shared" si="497"/>
        <v>39.5</v>
      </c>
      <c r="BF192" s="139">
        <f t="shared" si="486"/>
        <v>12.634408602150538</v>
      </c>
      <c r="BG192" s="139">
        <f t="shared" si="498"/>
        <v>9.4</v>
      </c>
      <c r="BH192" s="139">
        <f t="shared" si="488"/>
        <v>23.655913978494624</v>
      </c>
      <c r="BI192" s="139">
        <f t="shared" si="489"/>
        <v>17.600000000000001</v>
      </c>
      <c r="BJ192" s="139">
        <f t="shared" si="490"/>
        <v>23.655913978494624</v>
      </c>
      <c r="BK192" s="139">
        <f t="shared" si="499"/>
        <v>17.600000000000001</v>
      </c>
    </row>
    <row r="194" spans="1:63">
      <c r="A194" s="128" t="s">
        <v>201</v>
      </c>
      <c r="B194" s="120" t="s">
        <v>172</v>
      </c>
      <c r="C194" s="120" t="s">
        <v>173</v>
      </c>
      <c r="E194" s="120" t="s">
        <v>174</v>
      </c>
      <c r="F194" s="120"/>
      <c r="G194" s="120"/>
      <c r="J194" s="305" t="s">
        <v>177</v>
      </c>
      <c r="K194" s="306"/>
      <c r="L194" s="307"/>
      <c r="M194" s="305" t="s">
        <v>178</v>
      </c>
      <c r="N194" s="306"/>
      <c r="O194" s="307"/>
      <c r="P194" s="305" t="s">
        <v>179</v>
      </c>
      <c r="Q194" s="306"/>
      <c r="R194" s="306"/>
      <c r="S194" s="308" t="s">
        <v>180</v>
      </c>
      <c r="T194" s="308"/>
      <c r="U194" s="308"/>
      <c r="Z194" s="305" t="s">
        <v>177</v>
      </c>
      <c r="AA194" s="306"/>
      <c r="AB194" s="307"/>
      <c r="AC194" s="305" t="s">
        <v>178</v>
      </c>
      <c r="AD194" s="306"/>
      <c r="AE194" s="307"/>
      <c r="AF194" s="305" t="s">
        <v>179</v>
      </c>
      <c r="AG194" s="306"/>
      <c r="AH194" s="306"/>
      <c r="AI194" s="308" t="s">
        <v>180</v>
      </c>
      <c r="AJ194" s="308"/>
      <c r="AK194" s="308"/>
      <c r="AL194" s="128"/>
      <c r="AP194" s="305" t="s">
        <v>177</v>
      </c>
      <c r="AQ194" s="306"/>
      <c r="AR194" s="307"/>
      <c r="AS194" s="305" t="s">
        <v>178</v>
      </c>
      <c r="AT194" s="306"/>
      <c r="AU194" s="307"/>
      <c r="AV194" s="305" t="s">
        <v>179</v>
      </c>
      <c r="AW194" s="306"/>
      <c r="AX194" s="306"/>
      <c r="AY194" s="308" t="s">
        <v>180</v>
      </c>
      <c r="AZ194" s="308"/>
      <c r="BA194" s="308"/>
      <c r="BD194" s="310" t="s">
        <v>177</v>
      </c>
      <c r="BE194" s="311"/>
      <c r="BF194" s="310" t="s">
        <v>178</v>
      </c>
      <c r="BG194" s="311"/>
      <c r="BH194" s="310" t="s">
        <v>181</v>
      </c>
      <c r="BI194" s="311"/>
      <c r="BJ194" s="308" t="s">
        <v>180</v>
      </c>
      <c r="BK194" s="308"/>
    </row>
    <row r="195" spans="1:63" ht="13.8" thickBot="1">
      <c r="D195" s="118" t="s">
        <v>176</v>
      </c>
      <c r="E195" s="118" t="s">
        <v>175</v>
      </c>
      <c r="J195" s="117" t="s">
        <v>205</v>
      </c>
      <c r="K195" s="117" t="s">
        <v>176</v>
      </c>
      <c r="L195" s="117" t="s">
        <v>175</v>
      </c>
      <c r="M195" s="117" t="s">
        <v>205</v>
      </c>
      <c r="N195" s="117" t="s">
        <v>176</v>
      </c>
      <c r="O195" s="117" t="s">
        <v>175</v>
      </c>
      <c r="P195" s="117" t="s">
        <v>205</v>
      </c>
      <c r="Q195" s="117" t="s">
        <v>176</v>
      </c>
      <c r="R195" s="117" t="s">
        <v>175</v>
      </c>
      <c r="S195" s="137" t="s">
        <v>205</v>
      </c>
      <c r="T195" s="137" t="s">
        <v>176</v>
      </c>
      <c r="U195" s="137" t="s">
        <v>175</v>
      </c>
      <c r="Z195" s="117" t="s">
        <v>205</v>
      </c>
      <c r="AA195" s="117" t="s">
        <v>176</v>
      </c>
      <c r="AB195" s="117" t="s">
        <v>175</v>
      </c>
      <c r="AC195" s="117" t="s">
        <v>205</v>
      </c>
      <c r="AD195" s="117" t="s">
        <v>176</v>
      </c>
      <c r="AE195" s="117" t="s">
        <v>175</v>
      </c>
      <c r="AF195" s="117" t="s">
        <v>205</v>
      </c>
      <c r="AG195" s="117" t="s">
        <v>176</v>
      </c>
      <c r="AH195" s="117" t="s">
        <v>175</v>
      </c>
      <c r="AI195" s="137" t="s">
        <v>205</v>
      </c>
      <c r="AJ195" s="137" t="s">
        <v>176</v>
      </c>
      <c r="AK195" s="137" t="s">
        <v>175</v>
      </c>
      <c r="AP195" s="117" t="s">
        <v>205</v>
      </c>
      <c r="AQ195" s="117" t="s">
        <v>176</v>
      </c>
      <c r="AR195" s="117" t="s">
        <v>175</v>
      </c>
      <c r="AS195" s="117" t="s">
        <v>205</v>
      </c>
      <c r="AT195" s="117" t="s">
        <v>176</v>
      </c>
      <c r="AU195" s="117" t="s">
        <v>175</v>
      </c>
      <c r="AV195" s="117" t="s">
        <v>205</v>
      </c>
      <c r="AW195" s="117" t="s">
        <v>176</v>
      </c>
      <c r="AX195" s="117" t="s">
        <v>175</v>
      </c>
      <c r="AY195" s="137" t="s">
        <v>205</v>
      </c>
      <c r="AZ195" s="137" t="s">
        <v>176</v>
      </c>
      <c r="BA195" s="137" t="s">
        <v>175</v>
      </c>
      <c r="BD195" s="137" t="s">
        <v>176</v>
      </c>
      <c r="BE195" s="137" t="s">
        <v>175</v>
      </c>
      <c r="BF195" s="137" t="s">
        <v>176</v>
      </c>
      <c r="BG195" s="137" t="s">
        <v>175</v>
      </c>
      <c r="BH195" s="137" t="s">
        <v>176</v>
      </c>
      <c r="BI195" s="137" t="s">
        <v>175</v>
      </c>
      <c r="BJ195" s="137" t="s">
        <v>176</v>
      </c>
      <c r="BK195" s="137" t="s">
        <v>175</v>
      </c>
    </row>
    <row r="196" spans="1:63" ht="14.4">
      <c r="A196" s="121" t="s">
        <v>55</v>
      </c>
      <c r="B196" s="118">
        <v>31</v>
      </c>
      <c r="C196" s="118">
        <f>B196*24</f>
        <v>744</v>
      </c>
      <c r="D196" s="122">
        <f t="shared" ref="D196:D207" si="500">E196*1000/C196</f>
        <v>34.946236559139784</v>
      </c>
      <c r="E196" s="118">
        <v>26</v>
      </c>
      <c r="H196" s="123"/>
      <c r="J196" s="124">
        <v>1.61</v>
      </c>
      <c r="K196" s="125">
        <f t="shared" ref="K196:K207" si="501">J196*D196</f>
        <v>56.263440860215056</v>
      </c>
      <c r="L196" s="125">
        <f>$E196*J196</f>
        <v>41.86</v>
      </c>
      <c r="M196" s="124">
        <v>0.52</v>
      </c>
      <c r="N196" s="125">
        <f t="shared" ref="N196:N207" si="502">M196*D196</f>
        <v>18.172043010752688</v>
      </c>
      <c r="O196" s="125">
        <f>$E196*M196</f>
        <v>13.52</v>
      </c>
      <c r="P196" s="124">
        <v>1</v>
      </c>
      <c r="Q196" s="125">
        <f t="shared" ref="Q196:Q207" si="503">P196*D196</f>
        <v>34.946236559139784</v>
      </c>
      <c r="R196" s="125">
        <f>$E196*P196</f>
        <v>26</v>
      </c>
      <c r="S196" s="124">
        <v>1</v>
      </c>
      <c r="T196" s="125">
        <f t="shared" ref="T196:T207" si="504">S196*D196</f>
        <v>34.946236559139784</v>
      </c>
      <c r="U196" s="125">
        <f>$E196*S196</f>
        <v>26</v>
      </c>
      <c r="X196" s="123"/>
      <c r="Y196" s="123"/>
      <c r="Z196" s="124">
        <v>1.94</v>
      </c>
      <c r="AA196" s="125">
        <f>Z196*$D196</f>
        <v>67.795698924731184</v>
      </c>
      <c r="AB196" s="125">
        <f t="shared" ref="AB196:AB207" si="505">$E196*Z196</f>
        <v>50.44</v>
      </c>
      <c r="AC196" s="124">
        <v>0.51</v>
      </c>
      <c r="AD196" s="125">
        <f>AC196*$D196</f>
        <v>17.822580645161292</v>
      </c>
      <c r="AE196" s="125">
        <f t="shared" ref="AE196:AE207" si="506">$E196*AC196</f>
        <v>13.26</v>
      </c>
      <c r="AF196" s="124">
        <v>0.95</v>
      </c>
      <c r="AG196" s="125">
        <f>AF196*$D196</f>
        <v>33.198924731182792</v>
      </c>
      <c r="AH196" s="125">
        <f t="shared" ref="AH196:AH207" si="507">$E196*AF196</f>
        <v>24.7</v>
      </c>
      <c r="AI196" s="124">
        <v>0.95</v>
      </c>
      <c r="AJ196" s="125">
        <f>AI196*$D196</f>
        <v>33.198924731182792</v>
      </c>
      <c r="AK196" s="125">
        <f t="shared" ref="AK196:AK207" si="508">$E196*AI196</f>
        <v>24.7</v>
      </c>
      <c r="AL196" s="162"/>
      <c r="AN196" s="123"/>
      <c r="AO196" s="123"/>
      <c r="AP196" s="124">
        <v>1.92</v>
      </c>
      <c r="AQ196" s="125">
        <f>AP196*$D196</f>
        <v>67.096774193548384</v>
      </c>
      <c r="AR196" s="125">
        <f t="shared" ref="AR196:AR207" si="509">$E196*AP196</f>
        <v>49.92</v>
      </c>
      <c r="AS196" s="124">
        <v>0.55000000000000004</v>
      </c>
      <c r="AT196" s="125">
        <f>AS196*$D196</f>
        <v>19.220430107526884</v>
      </c>
      <c r="AU196" s="125">
        <f t="shared" ref="AU196:AU207" si="510">$E196*AS196</f>
        <v>14.3</v>
      </c>
      <c r="AV196" s="124">
        <v>0.85</v>
      </c>
      <c r="AW196" s="125">
        <f>AV196*$D196</f>
        <v>29.704301075268816</v>
      </c>
      <c r="AX196" s="125">
        <f t="shared" ref="AX196:AX207" si="511">$E196*AV196</f>
        <v>22.099999999999998</v>
      </c>
      <c r="AY196" s="124">
        <v>0.85</v>
      </c>
      <c r="AZ196" s="125">
        <f>AY196*$D196</f>
        <v>29.704301075268816</v>
      </c>
      <c r="BA196" s="125">
        <f t="shared" ref="BA196:BA207" si="512">$E196*AY196</f>
        <v>22.099999999999998</v>
      </c>
      <c r="BD196" s="139">
        <f>(K196+AQ196)/2</f>
        <v>61.68010752688172</v>
      </c>
      <c r="BE196" s="139">
        <f>(L196+AR196)/2</f>
        <v>45.89</v>
      </c>
      <c r="BF196" s="139">
        <f>(N196+AT196)/2</f>
        <v>18.696236559139784</v>
      </c>
      <c r="BG196" s="139">
        <f>(O196+AU196)/2</f>
        <v>13.91</v>
      </c>
      <c r="BH196" s="139">
        <f>(Q196+AW196)/2</f>
        <v>32.325268817204304</v>
      </c>
      <c r="BI196" s="139">
        <f>(R196+AX196)/2</f>
        <v>24.049999999999997</v>
      </c>
      <c r="BJ196" s="139">
        <f>(T196+AZ196)/2</f>
        <v>32.325268817204304</v>
      </c>
      <c r="BK196" s="139">
        <f>(U196+BA196)/2</f>
        <v>24.049999999999997</v>
      </c>
    </row>
    <row r="197" spans="1:63" ht="14.4">
      <c r="A197" s="126" t="s">
        <v>56</v>
      </c>
      <c r="B197" s="118">
        <v>28</v>
      </c>
      <c r="C197" s="118">
        <f t="shared" ref="C197:C207" si="513">B197*24</f>
        <v>672</v>
      </c>
      <c r="D197" s="122">
        <f t="shared" si="500"/>
        <v>72.916666666666671</v>
      </c>
      <c r="E197" s="118">
        <v>49</v>
      </c>
      <c r="H197" s="123"/>
      <c r="J197" s="124">
        <v>1.45</v>
      </c>
      <c r="K197" s="125">
        <f t="shared" si="501"/>
        <v>105.72916666666667</v>
      </c>
      <c r="L197" s="125">
        <f t="shared" ref="L197:L207" si="514">$E197*J197</f>
        <v>71.05</v>
      </c>
      <c r="M197" s="124">
        <v>0.45</v>
      </c>
      <c r="N197" s="125">
        <f t="shared" si="502"/>
        <v>32.8125</v>
      </c>
      <c r="O197" s="125">
        <f t="shared" ref="O197:O207" si="515">$E197*M197</f>
        <v>22.05</v>
      </c>
      <c r="P197" s="124">
        <v>0.98</v>
      </c>
      <c r="Q197" s="125">
        <f t="shared" si="503"/>
        <v>71.458333333333343</v>
      </c>
      <c r="R197" s="125">
        <f t="shared" ref="R197:R207" si="516">$E197*P197</f>
        <v>48.019999999999996</v>
      </c>
      <c r="S197" s="124">
        <v>0.98</v>
      </c>
      <c r="T197" s="125">
        <f t="shared" si="504"/>
        <v>71.458333333333343</v>
      </c>
      <c r="U197" s="125">
        <f t="shared" ref="U197:U207" si="517">$E197*S197</f>
        <v>48.019999999999996</v>
      </c>
      <c r="X197" s="123"/>
      <c r="Y197" s="123"/>
      <c r="Z197" s="124">
        <v>1.64</v>
      </c>
      <c r="AA197" s="125">
        <f t="shared" ref="AA197:AA198" si="518">Z197*$D197</f>
        <v>119.58333333333333</v>
      </c>
      <c r="AB197" s="125">
        <f t="shared" si="505"/>
        <v>80.36</v>
      </c>
      <c r="AC197" s="124">
        <v>0.44</v>
      </c>
      <c r="AD197" s="125">
        <f t="shared" ref="AD197:AD198" si="519">AC197*$D197</f>
        <v>32.083333333333336</v>
      </c>
      <c r="AE197" s="125">
        <f t="shared" si="506"/>
        <v>21.56</v>
      </c>
      <c r="AF197" s="124">
        <v>0.92</v>
      </c>
      <c r="AG197" s="125">
        <f t="shared" ref="AG197:AG198" si="520">AF197*$D197</f>
        <v>67.083333333333343</v>
      </c>
      <c r="AH197" s="125">
        <f t="shared" si="507"/>
        <v>45.080000000000005</v>
      </c>
      <c r="AI197" s="124">
        <v>0.92</v>
      </c>
      <c r="AJ197" s="125">
        <f t="shared" ref="AJ197:AJ198" si="521">AI197*$D197</f>
        <v>67.083333333333343</v>
      </c>
      <c r="AK197" s="125">
        <f t="shared" si="508"/>
        <v>45.080000000000005</v>
      </c>
      <c r="AL197" s="162"/>
      <c r="AN197" s="123"/>
      <c r="AO197" s="123"/>
      <c r="AP197" s="124">
        <v>1.54</v>
      </c>
      <c r="AQ197" s="125">
        <f t="shared" ref="AQ197:AQ207" si="522">AP197*$D197</f>
        <v>112.29166666666667</v>
      </c>
      <c r="AR197" s="125">
        <f t="shared" si="509"/>
        <v>75.460000000000008</v>
      </c>
      <c r="AS197" s="124">
        <v>0.47</v>
      </c>
      <c r="AT197" s="125">
        <f t="shared" ref="AT197:AT207" si="523">AS197*$D197</f>
        <v>34.270833333333336</v>
      </c>
      <c r="AU197" s="125">
        <f t="shared" si="510"/>
        <v>23.029999999999998</v>
      </c>
      <c r="AV197" s="124">
        <v>0.8</v>
      </c>
      <c r="AW197" s="125">
        <f t="shared" ref="AW197:AW207" si="524">AV197*$D197</f>
        <v>58.333333333333343</v>
      </c>
      <c r="AX197" s="125">
        <f t="shared" si="511"/>
        <v>39.200000000000003</v>
      </c>
      <c r="AY197" s="124">
        <v>0.8</v>
      </c>
      <c r="AZ197" s="125">
        <f t="shared" ref="AZ197:AZ207" si="525">AY197*$D197</f>
        <v>58.333333333333343</v>
      </c>
      <c r="BA197" s="125">
        <f t="shared" si="512"/>
        <v>39.200000000000003</v>
      </c>
      <c r="BD197" s="139">
        <f t="shared" ref="BD197:BD207" si="526">(K197+AQ197)/2</f>
        <v>109.01041666666667</v>
      </c>
      <c r="BE197" s="139">
        <f t="shared" ref="BE197:BE202" si="527">(L197+AR197)/2</f>
        <v>73.254999999999995</v>
      </c>
      <c r="BF197" s="139">
        <f t="shared" ref="BF197:BF207" si="528">(N197+AT197)/2</f>
        <v>33.541666666666671</v>
      </c>
      <c r="BG197" s="139">
        <f t="shared" ref="BG197:BG202" si="529">(O197+AU197)/2</f>
        <v>22.54</v>
      </c>
      <c r="BH197" s="139">
        <f t="shared" ref="BH197:BH207" si="530">(Q197+AW197)/2</f>
        <v>64.895833333333343</v>
      </c>
      <c r="BI197" s="139">
        <f t="shared" ref="BI197:BI207" si="531">(R197+AX197)/2</f>
        <v>43.61</v>
      </c>
      <c r="BJ197" s="139">
        <f t="shared" ref="BJ197:BJ207" si="532">(T197+AZ197)/2</f>
        <v>64.895833333333343</v>
      </c>
      <c r="BK197" s="139">
        <f t="shared" ref="BK197:BK200" si="533">(U197+BA197)/2</f>
        <v>43.61</v>
      </c>
    </row>
    <row r="198" spans="1:63" ht="14.4">
      <c r="A198" s="126" t="s">
        <v>57</v>
      </c>
      <c r="B198" s="118">
        <v>31</v>
      </c>
      <c r="C198" s="118">
        <f t="shared" si="513"/>
        <v>744</v>
      </c>
      <c r="D198" s="122">
        <f t="shared" si="500"/>
        <v>115.59139784946237</v>
      </c>
      <c r="E198" s="118">
        <v>86</v>
      </c>
      <c r="H198" s="123"/>
      <c r="J198" s="124">
        <v>1.25</v>
      </c>
      <c r="K198" s="125">
        <f t="shared" si="501"/>
        <v>144.48924731182797</v>
      </c>
      <c r="L198" s="125">
        <f t="shared" si="514"/>
        <v>107.5</v>
      </c>
      <c r="M198" s="124">
        <v>0.52</v>
      </c>
      <c r="N198" s="125">
        <f t="shared" si="502"/>
        <v>60.107526881720432</v>
      </c>
      <c r="O198" s="125">
        <f t="shared" si="515"/>
        <v>44.72</v>
      </c>
      <c r="P198" s="124">
        <v>0.96</v>
      </c>
      <c r="Q198" s="125">
        <f t="shared" si="503"/>
        <v>110.96774193548387</v>
      </c>
      <c r="R198" s="125">
        <f t="shared" si="516"/>
        <v>82.56</v>
      </c>
      <c r="S198" s="124">
        <v>0.96</v>
      </c>
      <c r="T198" s="125">
        <f t="shared" si="504"/>
        <v>110.96774193548387</v>
      </c>
      <c r="U198" s="125">
        <f t="shared" si="517"/>
        <v>82.56</v>
      </c>
      <c r="X198" s="123"/>
      <c r="Y198" s="123"/>
      <c r="Z198" s="124">
        <v>1.28</v>
      </c>
      <c r="AA198" s="125">
        <f t="shared" si="518"/>
        <v>147.95698924731184</v>
      </c>
      <c r="AB198" s="125">
        <f t="shared" si="505"/>
        <v>110.08</v>
      </c>
      <c r="AC198" s="124">
        <v>0.35</v>
      </c>
      <c r="AD198" s="125">
        <f t="shared" si="519"/>
        <v>40.456989247311824</v>
      </c>
      <c r="AE198" s="125">
        <f t="shared" si="506"/>
        <v>30.099999999999998</v>
      </c>
      <c r="AF198" s="124">
        <v>0.85</v>
      </c>
      <c r="AG198" s="125">
        <f t="shared" si="520"/>
        <v>98.252688172043008</v>
      </c>
      <c r="AH198" s="125">
        <f t="shared" si="507"/>
        <v>73.099999999999994</v>
      </c>
      <c r="AI198" s="124">
        <v>0.85</v>
      </c>
      <c r="AJ198" s="125">
        <f t="shared" si="521"/>
        <v>98.252688172043008</v>
      </c>
      <c r="AK198" s="125">
        <f t="shared" si="508"/>
        <v>73.099999999999994</v>
      </c>
      <c r="AL198" s="162"/>
      <c r="AN198" s="123"/>
      <c r="AO198" s="123"/>
      <c r="AP198" s="124">
        <v>1.06</v>
      </c>
      <c r="AQ198" s="125">
        <f t="shared" si="522"/>
        <v>122.52688172043011</v>
      </c>
      <c r="AR198" s="125">
        <f t="shared" si="509"/>
        <v>91.160000000000011</v>
      </c>
      <c r="AS198" s="124">
        <v>0.34</v>
      </c>
      <c r="AT198" s="125">
        <f t="shared" si="523"/>
        <v>39.301075268817208</v>
      </c>
      <c r="AU198" s="125">
        <f t="shared" si="510"/>
        <v>29.240000000000002</v>
      </c>
      <c r="AV198" s="124">
        <v>0.67</v>
      </c>
      <c r="AW198" s="125">
        <f t="shared" si="524"/>
        <v>77.446236559139791</v>
      </c>
      <c r="AX198" s="125">
        <f t="shared" si="511"/>
        <v>57.620000000000005</v>
      </c>
      <c r="AY198" s="124">
        <v>0.67</v>
      </c>
      <c r="AZ198" s="125">
        <f t="shared" si="525"/>
        <v>77.446236559139791</v>
      </c>
      <c r="BA198" s="125">
        <f t="shared" si="512"/>
        <v>57.620000000000005</v>
      </c>
      <c r="BD198" s="139">
        <f t="shared" si="526"/>
        <v>133.50806451612902</v>
      </c>
      <c r="BE198" s="139">
        <f t="shared" si="527"/>
        <v>99.330000000000013</v>
      </c>
      <c r="BF198" s="139">
        <f t="shared" si="528"/>
        <v>49.704301075268816</v>
      </c>
      <c r="BG198" s="139">
        <f t="shared" si="529"/>
        <v>36.980000000000004</v>
      </c>
      <c r="BH198" s="139">
        <f t="shared" si="530"/>
        <v>94.206989247311839</v>
      </c>
      <c r="BI198" s="139">
        <f t="shared" si="531"/>
        <v>70.09</v>
      </c>
      <c r="BJ198" s="139">
        <f t="shared" si="532"/>
        <v>94.206989247311839</v>
      </c>
      <c r="BK198" s="139">
        <f t="shared" si="533"/>
        <v>70.09</v>
      </c>
    </row>
    <row r="199" spans="1:63" ht="14.4">
      <c r="A199" s="126" t="s">
        <v>58</v>
      </c>
      <c r="B199" s="118">
        <v>30</v>
      </c>
      <c r="C199" s="118">
        <f t="shared" si="513"/>
        <v>720</v>
      </c>
      <c r="D199" s="122">
        <f t="shared" si="500"/>
        <v>172.22222222222223</v>
      </c>
      <c r="E199" s="118">
        <v>124</v>
      </c>
      <c r="H199" s="123"/>
      <c r="J199" s="124">
        <v>1.0900000000000001</v>
      </c>
      <c r="K199" s="125">
        <f t="shared" si="501"/>
        <v>187.72222222222226</v>
      </c>
      <c r="L199" s="125">
        <f t="shared" si="514"/>
        <v>135.16</v>
      </c>
      <c r="M199" s="124">
        <v>0.68</v>
      </c>
      <c r="N199" s="125">
        <f t="shared" si="502"/>
        <v>117.11111111111113</v>
      </c>
      <c r="O199" s="125">
        <f t="shared" si="515"/>
        <v>84.320000000000007</v>
      </c>
      <c r="P199" s="124">
        <v>0.94</v>
      </c>
      <c r="Q199" s="125">
        <f t="shared" si="503"/>
        <v>161.88888888888889</v>
      </c>
      <c r="R199" s="125">
        <f t="shared" si="516"/>
        <v>116.55999999999999</v>
      </c>
      <c r="S199" s="124">
        <v>0.94</v>
      </c>
      <c r="T199" s="125">
        <f t="shared" si="504"/>
        <v>161.88888888888889</v>
      </c>
      <c r="U199" s="125">
        <f t="shared" si="517"/>
        <v>116.55999999999999</v>
      </c>
      <c r="X199" s="123"/>
      <c r="Y199" s="123"/>
      <c r="Z199" s="124">
        <v>0.99</v>
      </c>
      <c r="AA199" s="125">
        <f>Z199*$D199</f>
        <v>170.5</v>
      </c>
      <c r="AB199" s="125">
        <f t="shared" si="505"/>
        <v>122.76</v>
      </c>
      <c r="AC199" s="124">
        <v>0.34</v>
      </c>
      <c r="AD199" s="125">
        <f>AC199*$D199</f>
        <v>58.555555555555564</v>
      </c>
      <c r="AE199" s="125">
        <f t="shared" si="506"/>
        <v>42.160000000000004</v>
      </c>
      <c r="AF199" s="124">
        <v>0.81</v>
      </c>
      <c r="AG199" s="125">
        <f>AF199*$D199</f>
        <v>139.50000000000003</v>
      </c>
      <c r="AH199" s="125">
        <f t="shared" si="507"/>
        <v>100.44000000000001</v>
      </c>
      <c r="AI199" s="124">
        <v>0.81</v>
      </c>
      <c r="AJ199" s="125">
        <f>AI199*$D199</f>
        <v>139.50000000000003</v>
      </c>
      <c r="AK199" s="125">
        <f t="shared" si="508"/>
        <v>100.44000000000001</v>
      </c>
      <c r="AL199" s="162"/>
      <c r="AN199" s="123"/>
      <c r="AO199" s="123"/>
      <c r="AP199" s="124">
        <v>0.72</v>
      </c>
      <c r="AQ199" s="125">
        <f>AP199*$D199</f>
        <v>124</v>
      </c>
      <c r="AR199" s="125">
        <f t="shared" si="509"/>
        <v>89.28</v>
      </c>
      <c r="AS199" s="124">
        <v>0.3</v>
      </c>
      <c r="AT199" s="125">
        <f>AS199*$D199</f>
        <v>51.666666666666664</v>
      </c>
      <c r="AU199" s="125">
        <f t="shared" si="510"/>
        <v>37.199999999999996</v>
      </c>
      <c r="AV199" s="124">
        <v>0.59</v>
      </c>
      <c r="AW199" s="125">
        <f>AV199*$D199</f>
        <v>101.61111111111111</v>
      </c>
      <c r="AX199" s="125">
        <f t="shared" si="511"/>
        <v>73.16</v>
      </c>
      <c r="AY199" s="124">
        <v>0.59</v>
      </c>
      <c r="AZ199" s="125">
        <f>AY199*$D199</f>
        <v>101.61111111111111</v>
      </c>
      <c r="BA199" s="125">
        <f t="shared" si="512"/>
        <v>73.16</v>
      </c>
      <c r="BD199" s="139">
        <f t="shared" si="526"/>
        <v>155.86111111111114</v>
      </c>
      <c r="BE199" s="139">
        <f t="shared" si="527"/>
        <v>112.22</v>
      </c>
      <c r="BF199" s="139">
        <f t="shared" si="528"/>
        <v>84.3888888888889</v>
      </c>
      <c r="BG199" s="139">
        <f t="shared" si="529"/>
        <v>60.760000000000005</v>
      </c>
      <c r="BH199" s="139">
        <f t="shared" si="530"/>
        <v>131.75</v>
      </c>
      <c r="BI199" s="139">
        <f t="shared" si="531"/>
        <v>94.859999999999985</v>
      </c>
      <c r="BJ199" s="139">
        <f t="shared" si="532"/>
        <v>131.75</v>
      </c>
      <c r="BK199" s="139">
        <f t="shared" si="533"/>
        <v>94.859999999999985</v>
      </c>
    </row>
    <row r="200" spans="1:63" ht="14.4">
      <c r="A200" s="126" t="s">
        <v>183</v>
      </c>
      <c r="B200" s="118">
        <v>31</v>
      </c>
      <c r="C200" s="118">
        <f t="shared" si="513"/>
        <v>744</v>
      </c>
      <c r="D200" s="122">
        <f t="shared" si="500"/>
        <v>197.58064516129033</v>
      </c>
      <c r="E200" s="118">
        <v>147</v>
      </c>
      <c r="H200" s="123"/>
      <c r="J200" s="124">
        <v>1.01</v>
      </c>
      <c r="K200" s="125">
        <f t="shared" si="501"/>
        <v>199.55645161290323</v>
      </c>
      <c r="L200" s="125">
        <f t="shared" si="514"/>
        <v>148.47</v>
      </c>
      <c r="M200" s="124">
        <v>0.79</v>
      </c>
      <c r="N200" s="125">
        <f t="shared" si="502"/>
        <v>156.08870967741936</v>
      </c>
      <c r="O200" s="125">
        <f t="shared" si="515"/>
        <v>116.13000000000001</v>
      </c>
      <c r="P200" s="124">
        <v>0.94</v>
      </c>
      <c r="Q200" s="125">
        <f t="shared" si="503"/>
        <v>185.7258064516129</v>
      </c>
      <c r="R200" s="125">
        <f t="shared" si="516"/>
        <v>138.17999999999998</v>
      </c>
      <c r="S200" s="124">
        <v>0.94</v>
      </c>
      <c r="T200" s="125">
        <f t="shared" si="504"/>
        <v>185.7258064516129</v>
      </c>
      <c r="U200" s="125">
        <f t="shared" si="517"/>
        <v>138.17999999999998</v>
      </c>
      <c r="X200" s="123"/>
      <c r="Y200" s="123"/>
      <c r="Z200" s="124">
        <v>0.84</v>
      </c>
      <c r="AA200" s="125">
        <f t="shared" ref="AA200:AA207" si="534">Z200*$D200</f>
        <v>165.96774193548387</v>
      </c>
      <c r="AB200" s="125">
        <f t="shared" si="505"/>
        <v>123.47999999999999</v>
      </c>
      <c r="AC200" s="124">
        <v>0.4</v>
      </c>
      <c r="AD200" s="125">
        <f t="shared" ref="AD200:AD207" si="535">AC200*$D200</f>
        <v>79.032258064516142</v>
      </c>
      <c r="AE200" s="125">
        <f t="shared" si="506"/>
        <v>58.800000000000004</v>
      </c>
      <c r="AF200" s="124">
        <v>0.79</v>
      </c>
      <c r="AG200" s="125">
        <f t="shared" ref="AG200:AG207" si="536">AF200*$D200</f>
        <v>156.08870967741936</v>
      </c>
      <c r="AH200" s="125">
        <f t="shared" si="507"/>
        <v>116.13000000000001</v>
      </c>
      <c r="AI200" s="124">
        <v>0.79</v>
      </c>
      <c r="AJ200" s="125">
        <f t="shared" ref="AJ200:AJ207" si="537">AI200*$D200</f>
        <v>156.08870967741936</v>
      </c>
      <c r="AK200" s="125">
        <f t="shared" si="508"/>
        <v>116.13000000000001</v>
      </c>
      <c r="AL200" s="162"/>
      <c r="AN200" s="123"/>
      <c r="AO200" s="123"/>
      <c r="AP200" s="124">
        <v>0.55000000000000004</v>
      </c>
      <c r="AQ200" s="125">
        <f t="shared" si="522"/>
        <v>108.66935483870969</v>
      </c>
      <c r="AR200" s="125">
        <f t="shared" si="509"/>
        <v>80.850000000000009</v>
      </c>
      <c r="AS200" s="124">
        <v>0.3</v>
      </c>
      <c r="AT200" s="125">
        <f t="shared" si="523"/>
        <v>59.274193548387096</v>
      </c>
      <c r="AU200" s="125">
        <f t="shared" si="510"/>
        <v>44.1</v>
      </c>
      <c r="AV200" s="124">
        <v>0.56000000000000005</v>
      </c>
      <c r="AW200" s="125">
        <f t="shared" si="524"/>
        <v>110.6451612903226</v>
      </c>
      <c r="AX200" s="125">
        <f t="shared" si="511"/>
        <v>82.320000000000007</v>
      </c>
      <c r="AY200" s="124">
        <v>0.56000000000000005</v>
      </c>
      <c r="AZ200" s="125">
        <f t="shared" si="525"/>
        <v>110.6451612903226</v>
      </c>
      <c r="BA200" s="125">
        <f t="shared" si="512"/>
        <v>82.320000000000007</v>
      </c>
      <c r="BD200" s="139">
        <f t="shared" si="526"/>
        <v>154.11290322580646</v>
      </c>
      <c r="BE200" s="139">
        <f t="shared" si="527"/>
        <v>114.66</v>
      </c>
      <c r="BF200" s="139">
        <f t="shared" si="528"/>
        <v>107.68145161290323</v>
      </c>
      <c r="BG200" s="139">
        <f t="shared" si="529"/>
        <v>80.115000000000009</v>
      </c>
      <c r="BH200" s="139">
        <f t="shared" si="530"/>
        <v>148.18548387096774</v>
      </c>
      <c r="BI200" s="139">
        <f t="shared" si="531"/>
        <v>110.25</v>
      </c>
      <c r="BJ200" s="139">
        <f t="shared" si="532"/>
        <v>148.18548387096774</v>
      </c>
      <c r="BK200" s="139">
        <f t="shared" si="533"/>
        <v>110.25</v>
      </c>
    </row>
    <row r="201" spans="1:63" ht="14.4">
      <c r="A201" s="126" t="s">
        <v>184</v>
      </c>
      <c r="B201" s="118">
        <v>30</v>
      </c>
      <c r="C201" s="118">
        <f t="shared" si="513"/>
        <v>720</v>
      </c>
      <c r="D201" s="122">
        <f t="shared" si="500"/>
        <v>218.05555555555554</v>
      </c>
      <c r="E201" s="118">
        <v>157</v>
      </c>
      <c r="H201" s="123"/>
      <c r="I201" s="117" t="s">
        <v>195</v>
      </c>
      <c r="J201" s="124">
        <v>0.97</v>
      </c>
      <c r="K201" s="125">
        <f t="shared" si="501"/>
        <v>211.51388888888886</v>
      </c>
      <c r="L201" s="125">
        <f t="shared" si="514"/>
        <v>152.29</v>
      </c>
      <c r="M201" s="124">
        <v>0.82</v>
      </c>
      <c r="N201" s="125">
        <f t="shared" si="502"/>
        <v>178.80555555555554</v>
      </c>
      <c r="O201" s="125">
        <f t="shared" si="515"/>
        <v>128.73999999999998</v>
      </c>
      <c r="P201" s="124">
        <v>0.93</v>
      </c>
      <c r="Q201" s="125">
        <f t="shared" si="503"/>
        <v>202.79166666666666</v>
      </c>
      <c r="R201" s="125">
        <f t="shared" si="516"/>
        <v>146.01000000000002</v>
      </c>
      <c r="S201" s="124">
        <v>0.93</v>
      </c>
      <c r="T201" s="125">
        <f t="shared" si="504"/>
        <v>202.79166666666666</v>
      </c>
      <c r="U201" s="125">
        <f t="shared" si="517"/>
        <v>146.01000000000002</v>
      </c>
      <c r="W201" s="117" t="s">
        <v>195</v>
      </c>
      <c r="X201" s="123"/>
      <c r="Y201" s="123"/>
      <c r="Z201" s="124">
        <v>0.78</v>
      </c>
      <c r="AA201" s="125">
        <f t="shared" si="534"/>
        <v>170.08333333333334</v>
      </c>
      <c r="AB201" s="125">
        <f t="shared" si="505"/>
        <v>122.46000000000001</v>
      </c>
      <c r="AC201" s="124">
        <v>0.45</v>
      </c>
      <c r="AD201" s="125">
        <f t="shared" si="535"/>
        <v>98.125</v>
      </c>
      <c r="AE201" s="125">
        <f t="shared" si="506"/>
        <v>70.650000000000006</v>
      </c>
      <c r="AF201" s="124">
        <v>0.78</v>
      </c>
      <c r="AG201" s="125">
        <f t="shared" si="536"/>
        <v>170.08333333333334</v>
      </c>
      <c r="AH201" s="125">
        <f t="shared" si="507"/>
        <v>122.46000000000001</v>
      </c>
      <c r="AI201" s="124">
        <v>0.78</v>
      </c>
      <c r="AJ201" s="125">
        <f t="shared" si="537"/>
        <v>170.08333333333334</v>
      </c>
      <c r="AK201" s="125">
        <f t="shared" si="508"/>
        <v>122.46000000000001</v>
      </c>
      <c r="AL201" s="162"/>
      <c r="AM201" s="117" t="s">
        <v>195</v>
      </c>
      <c r="AN201" s="123"/>
      <c r="AO201" s="123"/>
      <c r="AP201" s="124">
        <v>0.5</v>
      </c>
      <c r="AQ201" s="125">
        <f t="shared" si="522"/>
        <v>109.02777777777777</v>
      </c>
      <c r="AR201" s="125">
        <f t="shared" si="509"/>
        <v>78.5</v>
      </c>
      <c r="AS201" s="124">
        <v>0.32</v>
      </c>
      <c r="AT201" s="125">
        <f t="shared" si="523"/>
        <v>69.777777777777771</v>
      </c>
      <c r="AU201" s="125">
        <f t="shared" si="510"/>
        <v>50.24</v>
      </c>
      <c r="AV201" s="124">
        <v>0.55000000000000004</v>
      </c>
      <c r="AW201" s="125">
        <f t="shared" si="524"/>
        <v>119.93055555555556</v>
      </c>
      <c r="AX201" s="125">
        <f t="shared" si="511"/>
        <v>86.350000000000009</v>
      </c>
      <c r="AY201" s="124">
        <v>0.55000000000000004</v>
      </c>
      <c r="AZ201" s="125">
        <f t="shared" si="525"/>
        <v>119.93055555555556</v>
      </c>
      <c r="BA201" s="125">
        <f t="shared" si="512"/>
        <v>86.350000000000009</v>
      </c>
      <c r="BC201" s="117" t="s">
        <v>195</v>
      </c>
      <c r="BD201" s="139">
        <f t="shared" si="526"/>
        <v>160.27083333333331</v>
      </c>
      <c r="BE201" s="139">
        <f t="shared" si="527"/>
        <v>115.395</v>
      </c>
      <c r="BF201" s="139">
        <f t="shared" si="528"/>
        <v>124.29166666666666</v>
      </c>
      <c r="BG201" s="139">
        <f t="shared" si="529"/>
        <v>89.49</v>
      </c>
      <c r="BH201" s="139">
        <f t="shared" si="530"/>
        <v>161.36111111111111</v>
      </c>
      <c r="BI201" s="139">
        <f t="shared" si="531"/>
        <v>116.18</v>
      </c>
      <c r="BJ201" s="139">
        <f t="shared" si="532"/>
        <v>161.36111111111111</v>
      </c>
      <c r="BK201" s="139">
        <f>(U201+BA201)/2</f>
        <v>116.18</v>
      </c>
    </row>
    <row r="202" spans="1:63" ht="14.4">
      <c r="A202" s="126" t="s">
        <v>185</v>
      </c>
      <c r="B202" s="118">
        <v>31</v>
      </c>
      <c r="C202" s="118">
        <f t="shared" si="513"/>
        <v>744</v>
      </c>
      <c r="D202" s="122">
        <f t="shared" si="500"/>
        <v>209.67741935483872</v>
      </c>
      <c r="E202" s="118">
        <v>156</v>
      </c>
      <c r="H202" s="123"/>
      <c r="I202" s="117" t="s">
        <v>243</v>
      </c>
      <c r="J202" s="124">
        <v>0.98</v>
      </c>
      <c r="K202" s="125">
        <f t="shared" si="501"/>
        <v>205.48387096774195</v>
      </c>
      <c r="L202" s="125">
        <f t="shared" si="514"/>
        <v>152.88</v>
      </c>
      <c r="M202" s="124">
        <v>0.81</v>
      </c>
      <c r="N202" s="125">
        <f t="shared" si="502"/>
        <v>169.83870967741936</v>
      </c>
      <c r="O202" s="125">
        <f t="shared" si="515"/>
        <v>126.36000000000001</v>
      </c>
      <c r="P202" s="124">
        <v>0.93</v>
      </c>
      <c r="Q202" s="125">
        <f t="shared" si="503"/>
        <v>195.00000000000003</v>
      </c>
      <c r="R202" s="125">
        <f t="shared" si="516"/>
        <v>145.08000000000001</v>
      </c>
      <c r="S202" s="124">
        <v>0.93</v>
      </c>
      <c r="T202" s="125">
        <f t="shared" si="504"/>
        <v>195.00000000000003</v>
      </c>
      <c r="U202" s="125">
        <f t="shared" si="517"/>
        <v>145.08000000000001</v>
      </c>
      <c r="W202" s="117" t="s">
        <v>243</v>
      </c>
      <c r="X202" s="123"/>
      <c r="Y202" s="123"/>
      <c r="Z202" s="124">
        <v>0.81</v>
      </c>
      <c r="AA202" s="125">
        <f t="shared" si="534"/>
        <v>169.83870967741936</v>
      </c>
      <c r="AB202" s="125">
        <f t="shared" si="505"/>
        <v>126.36000000000001</v>
      </c>
      <c r="AC202" s="124">
        <v>0.42</v>
      </c>
      <c r="AD202" s="125">
        <f t="shared" si="535"/>
        <v>88.064516129032256</v>
      </c>
      <c r="AE202" s="125">
        <f t="shared" si="506"/>
        <v>65.52</v>
      </c>
      <c r="AF202" s="124">
        <v>0.78</v>
      </c>
      <c r="AG202" s="125">
        <f t="shared" si="536"/>
        <v>163.54838709677421</v>
      </c>
      <c r="AH202" s="125">
        <f t="shared" si="507"/>
        <v>121.68</v>
      </c>
      <c r="AI202" s="124">
        <v>0.78</v>
      </c>
      <c r="AJ202" s="125">
        <f t="shared" si="537"/>
        <v>163.54838709677421</v>
      </c>
      <c r="AK202" s="125">
        <f t="shared" si="508"/>
        <v>121.68</v>
      </c>
      <c r="AL202" s="162"/>
      <c r="AM202" s="117" t="s">
        <v>243</v>
      </c>
      <c r="AN202" s="123"/>
      <c r="AO202" s="123"/>
      <c r="AP202" s="124">
        <v>0.52</v>
      </c>
      <c r="AQ202" s="125">
        <f t="shared" si="522"/>
        <v>109.03225806451614</v>
      </c>
      <c r="AR202" s="125">
        <f t="shared" si="509"/>
        <v>81.12</v>
      </c>
      <c r="AS202" s="124">
        <v>0.31</v>
      </c>
      <c r="AT202" s="125">
        <f t="shared" si="523"/>
        <v>65</v>
      </c>
      <c r="AU202" s="125">
        <f t="shared" si="510"/>
        <v>48.36</v>
      </c>
      <c r="AV202" s="124">
        <v>0.55000000000000004</v>
      </c>
      <c r="AW202" s="125">
        <f t="shared" si="524"/>
        <v>115.32258064516131</v>
      </c>
      <c r="AX202" s="125">
        <f t="shared" si="511"/>
        <v>85.800000000000011</v>
      </c>
      <c r="AY202" s="124">
        <v>0.55000000000000004</v>
      </c>
      <c r="AZ202" s="125">
        <f t="shared" si="525"/>
        <v>115.32258064516131</v>
      </c>
      <c r="BA202" s="125">
        <f t="shared" si="512"/>
        <v>85.800000000000011</v>
      </c>
      <c r="BC202" s="117" t="s">
        <v>243</v>
      </c>
      <c r="BD202" s="139">
        <f t="shared" si="526"/>
        <v>157.25806451612905</v>
      </c>
      <c r="BE202" s="139">
        <f t="shared" si="527"/>
        <v>117</v>
      </c>
      <c r="BF202" s="139">
        <f t="shared" si="528"/>
        <v>117.41935483870968</v>
      </c>
      <c r="BG202" s="139">
        <f t="shared" si="529"/>
        <v>87.360000000000014</v>
      </c>
      <c r="BH202" s="139">
        <f t="shared" si="530"/>
        <v>155.16129032258067</v>
      </c>
      <c r="BI202" s="139">
        <f t="shared" si="531"/>
        <v>115.44000000000001</v>
      </c>
      <c r="BJ202" s="139">
        <f t="shared" si="532"/>
        <v>155.16129032258067</v>
      </c>
      <c r="BK202" s="139">
        <f t="shared" ref="BK202:BK203" si="538">(U202+BA202)/2</f>
        <v>115.44000000000001</v>
      </c>
    </row>
    <row r="203" spans="1:63" ht="14.4">
      <c r="A203" s="126" t="s">
        <v>186</v>
      </c>
      <c r="B203" s="118">
        <v>31</v>
      </c>
      <c r="C203" s="118">
        <f t="shared" si="513"/>
        <v>744</v>
      </c>
      <c r="D203" s="122">
        <f t="shared" si="500"/>
        <v>182.79569892473117</v>
      </c>
      <c r="E203" s="118">
        <v>136</v>
      </c>
      <c r="H203" s="123"/>
      <c r="J203" s="124">
        <v>1.04</v>
      </c>
      <c r="K203" s="125">
        <f t="shared" si="501"/>
        <v>190.10752688172042</v>
      </c>
      <c r="L203" s="125">
        <f t="shared" si="514"/>
        <v>141.44</v>
      </c>
      <c r="M203" s="124">
        <v>0.73</v>
      </c>
      <c r="N203" s="125">
        <f t="shared" si="502"/>
        <v>133.44086021505376</v>
      </c>
      <c r="O203" s="125">
        <f t="shared" si="515"/>
        <v>99.28</v>
      </c>
      <c r="P203" s="124">
        <v>0.94</v>
      </c>
      <c r="Q203" s="125">
        <f t="shared" si="503"/>
        <v>171.8279569892473</v>
      </c>
      <c r="R203" s="125">
        <f t="shared" si="516"/>
        <v>127.83999999999999</v>
      </c>
      <c r="S203" s="124">
        <v>0.94</v>
      </c>
      <c r="T203" s="125">
        <f t="shared" si="504"/>
        <v>171.8279569892473</v>
      </c>
      <c r="U203" s="125">
        <f t="shared" si="517"/>
        <v>127.83999999999999</v>
      </c>
      <c r="X203" s="123"/>
      <c r="Y203" s="123"/>
      <c r="Z203" s="124">
        <v>0.91</v>
      </c>
      <c r="AA203" s="125">
        <f t="shared" si="534"/>
        <v>166.34408602150538</v>
      </c>
      <c r="AB203" s="125">
        <f t="shared" si="505"/>
        <v>123.76</v>
      </c>
      <c r="AC203" s="124">
        <v>0.35</v>
      </c>
      <c r="AD203" s="125">
        <f t="shared" si="535"/>
        <v>63.978494623655905</v>
      </c>
      <c r="AE203" s="125">
        <f t="shared" si="506"/>
        <v>47.599999999999994</v>
      </c>
      <c r="AF203" s="124">
        <v>0.79</v>
      </c>
      <c r="AG203" s="125">
        <f t="shared" si="536"/>
        <v>144.40860215053763</v>
      </c>
      <c r="AH203" s="125">
        <f t="shared" si="507"/>
        <v>107.44</v>
      </c>
      <c r="AI203" s="124">
        <v>0.79</v>
      </c>
      <c r="AJ203" s="125">
        <f t="shared" si="537"/>
        <v>144.40860215053763</v>
      </c>
      <c r="AK203" s="125">
        <f t="shared" si="508"/>
        <v>107.44</v>
      </c>
      <c r="AL203" s="162"/>
      <c r="AN203" s="123"/>
      <c r="AO203" s="123"/>
      <c r="AP203" s="124">
        <v>0.62</v>
      </c>
      <c r="AQ203" s="125">
        <f t="shared" si="522"/>
        <v>113.33333333333333</v>
      </c>
      <c r="AR203" s="125">
        <f t="shared" si="509"/>
        <v>84.32</v>
      </c>
      <c r="AS203" s="124">
        <v>0.3</v>
      </c>
      <c r="AT203" s="125">
        <f t="shared" si="523"/>
        <v>54.838709677419352</v>
      </c>
      <c r="AU203" s="125">
        <f t="shared" si="510"/>
        <v>40.799999999999997</v>
      </c>
      <c r="AV203" s="124">
        <v>0.56999999999999995</v>
      </c>
      <c r="AW203" s="125">
        <f t="shared" si="524"/>
        <v>104.19354838709675</v>
      </c>
      <c r="AX203" s="125">
        <f t="shared" si="511"/>
        <v>77.52</v>
      </c>
      <c r="AY203" s="124">
        <v>0.56999999999999995</v>
      </c>
      <c r="AZ203" s="125">
        <f t="shared" si="525"/>
        <v>104.19354838709675</v>
      </c>
      <c r="BA203" s="125">
        <f t="shared" si="512"/>
        <v>77.52</v>
      </c>
      <c r="BD203" s="139">
        <f t="shared" si="526"/>
        <v>151.72043010752688</v>
      </c>
      <c r="BE203" s="139">
        <f>(L203+AR203)/2</f>
        <v>112.88</v>
      </c>
      <c r="BF203" s="139">
        <f t="shared" si="528"/>
        <v>94.13978494623656</v>
      </c>
      <c r="BG203" s="139">
        <f>(O203+AU203)/2</f>
        <v>70.039999999999992</v>
      </c>
      <c r="BH203" s="139">
        <f t="shared" si="530"/>
        <v>138.01075268817203</v>
      </c>
      <c r="BI203" s="139">
        <f t="shared" si="531"/>
        <v>102.67999999999999</v>
      </c>
      <c r="BJ203" s="139">
        <f t="shared" si="532"/>
        <v>138.01075268817203</v>
      </c>
      <c r="BK203" s="139">
        <f t="shared" si="538"/>
        <v>102.67999999999999</v>
      </c>
    </row>
    <row r="204" spans="1:63" ht="14.4">
      <c r="A204" s="126" t="s">
        <v>187</v>
      </c>
      <c r="B204" s="118">
        <v>30</v>
      </c>
      <c r="C204" s="118">
        <f t="shared" si="513"/>
        <v>720</v>
      </c>
      <c r="D204" s="122">
        <f t="shared" si="500"/>
        <v>143.05555555555554</v>
      </c>
      <c r="E204" s="118">
        <v>103</v>
      </c>
      <c r="H204" s="123"/>
      <c r="J204" s="124">
        <v>1.17</v>
      </c>
      <c r="K204" s="125">
        <f t="shared" si="501"/>
        <v>167.37499999999997</v>
      </c>
      <c r="L204" s="125">
        <f t="shared" si="514"/>
        <v>120.50999999999999</v>
      </c>
      <c r="M204" s="124">
        <v>0.59</v>
      </c>
      <c r="N204" s="125">
        <f t="shared" si="502"/>
        <v>84.402777777777771</v>
      </c>
      <c r="O204" s="125">
        <f t="shared" si="515"/>
        <v>60.769999999999996</v>
      </c>
      <c r="P204" s="124">
        <v>0.95</v>
      </c>
      <c r="Q204" s="125">
        <f t="shared" si="503"/>
        <v>135.90277777777777</v>
      </c>
      <c r="R204" s="125">
        <f t="shared" si="516"/>
        <v>97.85</v>
      </c>
      <c r="S204" s="124">
        <v>0.95</v>
      </c>
      <c r="T204" s="125">
        <f t="shared" si="504"/>
        <v>135.90277777777777</v>
      </c>
      <c r="U204" s="125">
        <f t="shared" si="517"/>
        <v>97.85</v>
      </c>
      <c r="X204" s="123"/>
      <c r="Y204" s="123"/>
      <c r="Z204" s="124">
        <v>1.1100000000000001</v>
      </c>
      <c r="AA204" s="125">
        <f t="shared" si="534"/>
        <v>158.79166666666666</v>
      </c>
      <c r="AB204" s="125">
        <f t="shared" si="505"/>
        <v>114.33000000000001</v>
      </c>
      <c r="AC204" s="124">
        <v>0.31</v>
      </c>
      <c r="AD204" s="125">
        <f t="shared" si="535"/>
        <v>44.347222222222221</v>
      </c>
      <c r="AE204" s="125">
        <f t="shared" si="506"/>
        <v>31.93</v>
      </c>
      <c r="AF204" s="124">
        <v>0.81</v>
      </c>
      <c r="AG204" s="125">
        <f t="shared" si="536"/>
        <v>115.875</v>
      </c>
      <c r="AH204" s="125">
        <f t="shared" si="507"/>
        <v>83.43</v>
      </c>
      <c r="AI204" s="124">
        <v>0.81</v>
      </c>
      <c r="AJ204" s="125">
        <f t="shared" si="537"/>
        <v>115.875</v>
      </c>
      <c r="AK204" s="125">
        <f t="shared" si="508"/>
        <v>83.43</v>
      </c>
      <c r="AL204" s="162"/>
      <c r="AN204" s="123"/>
      <c r="AO204" s="123"/>
      <c r="AP204" s="124">
        <v>0.85</v>
      </c>
      <c r="AQ204" s="125">
        <f t="shared" si="522"/>
        <v>121.59722222222221</v>
      </c>
      <c r="AR204" s="125">
        <f t="shared" si="509"/>
        <v>87.55</v>
      </c>
      <c r="AS204" s="124">
        <v>0.28000000000000003</v>
      </c>
      <c r="AT204" s="125">
        <f t="shared" si="523"/>
        <v>40.055555555555557</v>
      </c>
      <c r="AU204" s="125">
        <f t="shared" si="510"/>
        <v>28.840000000000003</v>
      </c>
      <c r="AV204" s="124">
        <v>0.6</v>
      </c>
      <c r="AW204" s="125">
        <f t="shared" si="524"/>
        <v>85.833333333333329</v>
      </c>
      <c r="AX204" s="125">
        <f t="shared" si="511"/>
        <v>61.8</v>
      </c>
      <c r="AY204" s="124">
        <v>0.6</v>
      </c>
      <c r="AZ204" s="125">
        <f t="shared" si="525"/>
        <v>85.833333333333329</v>
      </c>
      <c r="BA204" s="125">
        <f t="shared" si="512"/>
        <v>61.8</v>
      </c>
      <c r="BD204" s="139">
        <f t="shared" si="526"/>
        <v>144.48611111111109</v>
      </c>
      <c r="BE204" s="139">
        <f t="shared" ref="BE204:BE207" si="539">(L204+AR204)/2</f>
        <v>104.03</v>
      </c>
      <c r="BF204" s="139">
        <f t="shared" si="528"/>
        <v>62.229166666666664</v>
      </c>
      <c r="BG204" s="139">
        <f t="shared" ref="BG204:BG207" si="540">(O204+AU204)/2</f>
        <v>44.805</v>
      </c>
      <c r="BH204" s="139">
        <f t="shared" si="530"/>
        <v>110.86805555555554</v>
      </c>
      <c r="BI204" s="139">
        <f t="shared" si="531"/>
        <v>79.824999999999989</v>
      </c>
      <c r="BJ204" s="139">
        <f t="shared" si="532"/>
        <v>110.86805555555554</v>
      </c>
      <c r="BK204" s="139">
        <f>(U204+BA204)/2</f>
        <v>79.824999999999989</v>
      </c>
    </row>
    <row r="205" spans="1:63" ht="14.4">
      <c r="A205" s="126" t="s">
        <v>59</v>
      </c>
      <c r="B205" s="118">
        <v>31</v>
      </c>
      <c r="C205" s="118">
        <f t="shared" si="513"/>
        <v>744</v>
      </c>
      <c r="D205" s="122">
        <f t="shared" si="500"/>
        <v>81.989247311827953</v>
      </c>
      <c r="E205" s="118">
        <v>61</v>
      </c>
      <c r="H205" s="123"/>
      <c r="J205" s="124">
        <v>1.33</v>
      </c>
      <c r="K205" s="125">
        <f t="shared" si="501"/>
        <v>109.04569892473118</v>
      </c>
      <c r="L205" s="125">
        <f t="shared" si="514"/>
        <v>81.13000000000001</v>
      </c>
      <c r="M205" s="124">
        <v>0.45</v>
      </c>
      <c r="N205" s="125">
        <f t="shared" si="502"/>
        <v>36.895161290322577</v>
      </c>
      <c r="O205" s="125">
        <f t="shared" si="515"/>
        <v>27.45</v>
      </c>
      <c r="P205" s="124">
        <v>0.96</v>
      </c>
      <c r="Q205" s="125">
        <f t="shared" si="503"/>
        <v>78.709677419354833</v>
      </c>
      <c r="R205" s="125">
        <f t="shared" si="516"/>
        <v>58.559999999999995</v>
      </c>
      <c r="S205" s="124">
        <v>0.96</v>
      </c>
      <c r="T205" s="125">
        <f t="shared" si="504"/>
        <v>78.709677419354833</v>
      </c>
      <c r="U205" s="125">
        <f t="shared" si="517"/>
        <v>58.559999999999995</v>
      </c>
      <c r="X205" s="123"/>
      <c r="Y205" s="123"/>
      <c r="Z205" s="124">
        <v>1.4</v>
      </c>
      <c r="AA205" s="125">
        <f t="shared" si="534"/>
        <v>114.78494623655912</v>
      </c>
      <c r="AB205" s="125">
        <f t="shared" si="505"/>
        <v>85.399999999999991</v>
      </c>
      <c r="AC205" s="124">
        <v>0.34</v>
      </c>
      <c r="AD205" s="125">
        <f t="shared" si="535"/>
        <v>27.876344086021504</v>
      </c>
      <c r="AE205" s="125">
        <f t="shared" si="506"/>
        <v>20.740000000000002</v>
      </c>
      <c r="AF205" s="124">
        <v>0.84</v>
      </c>
      <c r="AG205" s="125">
        <f t="shared" si="536"/>
        <v>68.870967741935473</v>
      </c>
      <c r="AH205" s="125">
        <f t="shared" si="507"/>
        <v>51.239999999999995</v>
      </c>
      <c r="AI205" s="124">
        <v>0.84</v>
      </c>
      <c r="AJ205" s="125">
        <f t="shared" si="537"/>
        <v>68.870967741935473</v>
      </c>
      <c r="AK205" s="125">
        <f t="shared" si="508"/>
        <v>51.239999999999995</v>
      </c>
      <c r="AL205" s="162"/>
      <c r="AN205" s="123"/>
      <c r="AO205" s="123"/>
      <c r="AP205" s="124">
        <v>1.19</v>
      </c>
      <c r="AQ205" s="125">
        <f t="shared" si="522"/>
        <v>97.567204301075265</v>
      </c>
      <c r="AR205" s="125">
        <f t="shared" si="509"/>
        <v>72.59</v>
      </c>
      <c r="AS205" s="124">
        <v>0.3</v>
      </c>
      <c r="AT205" s="125">
        <f t="shared" si="523"/>
        <v>24.596774193548384</v>
      </c>
      <c r="AU205" s="125">
        <f t="shared" si="510"/>
        <v>18.3</v>
      </c>
      <c r="AV205" s="124">
        <v>0.63</v>
      </c>
      <c r="AW205" s="125">
        <f t="shared" si="524"/>
        <v>51.653225806451609</v>
      </c>
      <c r="AX205" s="125">
        <f t="shared" si="511"/>
        <v>38.43</v>
      </c>
      <c r="AY205" s="124">
        <v>0.63</v>
      </c>
      <c r="AZ205" s="125">
        <f t="shared" si="525"/>
        <v>51.653225806451609</v>
      </c>
      <c r="BA205" s="125">
        <f t="shared" si="512"/>
        <v>38.43</v>
      </c>
      <c r="BD205" s="139">
        <f t="shared" si="526"/>
        <v>103.30645161290323</v>
      </c>
      <c r="BE205" s="139">
        <f t="shared" si="539"/>
        <v>76.860000000000014</v>
      </c>
      <c r="BF205" s="139">
        <f t="shared" si="528"/>
        <v>30.74596774193548</v>
      </c>
      <c r="BG205" s="139">
        <f t="shared" si="540"/>
        <v>22.875</v>
      </c>
      <c r="BH205" s="139">
        <f t="shared" si="530"/>
        <v>65.181451612903217</v>
      </c>
      <c r="BI205" s="139">
        <f t="shared" si="531"/>
        <v>48.494999999999997</v>
      </c>
      <c r="BJ205" s="139">
        <f t="shared" si="532"/>
        <v>65.181451612903217</v>
      </c>
      <c r="BK205" s="139">
        <f t="shared" ref="BK205:BK207" si="541">(U205+BA205)/2</f>
        <v>48.494999999999997</v>
      </c>
    </row>
    <row r="206" spans="1:63" ht="14.4">
      <c r="A206" s="126" t="s">
        <v>60</v>
      </c>
      <c r="B206" s="118">
        <v>30</v>
      </c>
      <c r="C206" s="118">
        <f t="shared" si="513"/>
        <v>720</v>
      </c>
      <c r="D206" s="122">
        <f t="shared" si="500"/>
        <v>41.666666666666664</v>
      </c>
      <c r="E206" s="118">
        <v>30</v>
      </c>
      <c r="H206" s="123"/>
      <c r="J206" s="124">
        <v>1.52</v>
      </c>
      <c r="K206" s="125">
        <f t="shared" si="501"/>
        <v>63.333333333333329</v>
      </c>
      <c r="L206" s="125">
        <f t="shared" si="514"/>
        <v>45.6</v>
      </c>
      <c r="M206" s="124">
        <v>0.47</v>
      </c>
      <c r="N206" s="125">
        <f t="shared" si="502"/>
        <v>19.583333333333332</v>
      </c>
      <c r="O206" s="125">
        <f t="shared" si="515"/>
        <v>14.1</v>
      </c>
      <c r="P206" s="124">
        <v>0.97</v>
      </c>
      <c r="Q206" s="125">
        <f t="shared" si="503"/>
        <v>40.416666666666664</v>
      </c>
      <c r="R206" s="125">
        <f t="shared" si="516"/>
        <v>29.099999999999998</v>
      </c>
      <c r="S206" s="124">
        <v>0.97</v>
      </c>
      <c r="T206" s="125">
        <f t="shared" si="504"/>
        <v>40.416666666666664</v>
      </c>
      <c r="U206" s="125">
        <f t="shared" si="517"/>
        <v>29.099999999999998</v>
      </c>
      <c r="X206" s="123"/>
      <c r="Y206" s="123"/>
      <c r="Z206" s="124">
        <v>1.75</v>
      </c>
      <c r="AA206" s="125">
        <f t="shared" si="534"/>
        <v>72.916666666666657</v>
      </c>
      <c r="AB206" s="125">
        <f t="shared" si="505"/>
        <v>52.5</v>
      </c>
      <c r="AC206" s="124">
        <v>0.4</v>
      </c>
      <c r="AD206" s="125">
        <f t="shared" si="535"/>
        <v>16.666666666666668</v>
      </c>
      <c r="AE206" s="125">
        <f t="shared" si="506"/>
        <v>12</v>
      </c>
      <c r="AF206" s="124">
        <v>0.86</v>
      </c>
      <c r="AG206" s="125">
        <f t="shared" si="536"/>
        <v>35.833333333333329</v>
      </c>
      <c r="AH206" s="125">
        <f t="shared" si="507"/>
        <v>25.8</v>
      </c>
      <c r="AI206" s="124">
        <v>0.86</v>
      </c>
      <c r="AJ206" s="125">
        <f t="shared" si="537"/>
        <v>35.833333333333329</v>
      </c>
      <c r="AK206" s="125">
        <f t="shared" si="508"/>
        <v>25.8</v>
      </c>
      <c r="AL206" s="162"/>
      <c r="AN206" s="123"/>
      <c r="AO206" s="123"/>
      <c r="AP206" s="124">
        <v>1.62</v>
      </c>
      <c r="AQ206" s="125">
        <f t="shared" si="522"/>
        <v>67.5</v>
      </c>
      <c r="AR206" s="125">
        <f t="shared" si="509"/>
        <v>48.6</v>
      </c>
      <c r="AS206" s="124">
        <v>0.37</v>
      </c>
      <c r="AT206" s="125">
        <f t="shared" si="523"/>
        <v>15.416666666666666</v>
      </c>
      <c r="AU206" s="125">
        <f t="shared" si="510"/>
        <v>11.1</v>
      </c>
      <c r="AV206" s="124">
        <v>0.65</v>
      </c>
      <c r="AW206" s="125">
        <f t="shared" si="524"/>
        <v>27.083333333333332</v>
      </c>
      <c r="AX206" s="125">
        <f t="shared" si="511"/>
        <v>19.5</v>
      </c>
      <c r="AY206" s="124">
        <v>0.65</v>
      </c>
      <c r="AZ206" s="125">
        <f t="shared" si="525"/>
        <v>27.083333333333332</v>
      </c>
      <c r="BA206" s="125">
        <f t="shared" si="512"/>
        <v>19.5</v>
      </c>
      <c r="BD206" s="139">
        <f t="shared" si="526"/>
        <v>65.416666666666657</v>
      </c>
      <c r="BE206" s="139">
        <f t="shared" si="539"/>
        <v>47.1</v>
      </c>
      <c r="BF206" s="139">
        <f t="shared" si="528"/>
        <v>17.5</v>
      </c>
      <c r="BG206" s="139">
        <f t="shared" si="540"/>
        <v>12.6</v>
      </c>
      <c r="BH206" s="139">
        <f t="shared" si="530"/>
        <v>33.75</v>
      </c>
      <c r="BI206" s="139">
        <f t="shared" si="531"/>
        <v>24.299999999999997</v>
      </c>
      <c r="BJ206" s="139">
        <f t="shared" si="532"/>
        <v>33.75</v>
      </c>
      <c r="BK206" s="139">
        <f t="shared" si="541"/>
        <v>24.299999999999997</v>
      </c>
    </row>
    <row r="207" spans="1:63" ht="15" thickBot="1">
      <c r="A207" s="127" t="s">
        <v>61</v>
      </c>
      <c r="B207" s="118">
        <v>31</v>
      </c>
      <c r="C207" s="118">
        <f t="shared" si="513"/>
        <v>744</v>
      </c>
      <c r="D207" s="122">
        <f t="shared" si="500"/>
        <v>26.881720430107528</v>
      </c>
      <c r="E207" s="118">
        <v>20</v>
      </c>
      <c r="H207" s="123"/>
      <c r="J207" s="124">
        <v>1.76</v>
      </c>
      <c r="K207" s="125">
        <f t="shared" si="501"/>
        <v>47.311827956989248</v>
      </c>
      <c r="L207" s="125">
        <f t="shared" si="514"/>
        <v>35.200000000000003</v>
      </c>
      <c r="M207" s="124">
        <v>0.48</v>
      </c>
      <c r="N207" s="125">
        <f t="shared" si="502"/>
        <v>12.903225806451612</v>
      </c>
      <c r="O207" s="125">
        <f t="shared" si="515"/>
        <v>9.6</v>
      </c>
      <c r="P207" s="124">
        <v>0.99</v>
      </c>
      <c r="Q207" s="125">
        <f t="shared" si="503"/>
        <v>26.612903225806452</v>
      </c>
      <c r="R207" s="125">
        <f t="shared" si="516"/>
        <v>19.8</v>
      </c>
      <c r="S207" s="124">
        <v>0.99</v>
      </c>
      <c r="T207" s="125">
        <f t="shared" si="504"/>
        <v>26.612903225806452</v>
      </c>
      <c r="U207" s="125">
        <f t="shared" si="517"/>
        <v>19.8</v>
      </c>
      <c r="X207" s="123"/>
      <c r="Y207" s="123"/>
      <c r="Z207" s="124">
        <v>2.15</v>
      </c>
      <c r="AA207" s="125">
        <f t="shared" si="534"/>
        <v>57.795698924731184</v>
      </c>
      <c r="AB207" s="125">
        <f t="shared" si="505"/>
        <v>43</v>
      </c>
      <c r="AC207" s="124">
        <v>0.46</v>
      </c>
      <c r="AD207" s="125">
        <f t="shared" si="535"/>
        <v>12.365591397849464</v>
      </c>
      <c r="AE207" s="125">
        <f t="shared" si="506"/>
        <v>9.2000000000000011</v>
      </c>
      <c r="AF207" s="124">
        <v>0.9</v>
      </c>
      <c r="AG207" s="125">
        <f t="shared" si="536"/>
        <v>24.193548387096776</v>
      </c>
      <c r="AH207" s="125">
        <f t="shared" si="507"/>
        <v>18</v>
      </c>
      <c r="AI207" s="124">
        <v>0.9</v>
      </c>
      <c r="AJ207" s="125">
        <f t="shared" si="537"/>
        <v>24.193548387096776</v>
      </c>
      <c r="AK207" s="125">
        <f t="shared" si="508"/>
        <v>18</v>
      </c>
      <c r="AL207" s="162"/>
      <c r="AN207" s="123"/>
      <c r="AO207" s="123"/>
      <c r="AP207" s="124">
        <v>2.19</v>
      </c>
      <c r="AQ207" s="125">
        <f t="shared" si="522"/>
        <v>58.870967741935488</v>
      </c>
      <c r="AR207" s="125">
        <f t="shared" si="509"/>
        <v>43.8</v>
      </c>
      <c r="AS207" s="124">
        <v>0.46</v>
      </c>
      <c r="AT207" s="125">
        <f t="shared" si="523"/>
        <v>12.365591397849464</v>
      </c>
      <c r="AU207" s="125">
        <f t="shared" si="510"/>
        <v>9.2000000000000011</v>
      </c>
      <c r="AV207" s="124">
        <v>0.77</v>
      </c>
      <c r="AW207" s="125">
        <f t="shared" si="524"/>
        <v>20.698924731182796</v>
      </c>
      <c r="AX207" s="125">
        <f t="shared" si="511"/>
        <v>15.4</v>
      </c>
      <c r="AY207" s="124">
        <v>0.77</v>
      </c>
      <c r="AZ207" s="125">
        <f t="shared" si="525"/>
        <v>20.698924731182796</v>
      </c>
      <c r="BA207" s="125">
        <f t="shared" si="512"/>
        <v>15.4</v>
      </c>
      <c r="BD207" s="139">
        <f t="shared" si="526"/>
        <v>53.091397849462368</v>
      </c>
      <c r="BE207" s="139">
        <f t="shared" si="539"/>
        <v>39.5</v>
      </c>
      <c r="BF207" s="139">
        <f t="shared" si="528"/>
        <v>12.634408602150538</v>
      </c>
      <c r="BG207" s="139">
        <f t="shared" si="540"/>
        <v>9.4</v>
      </c>
      <c r="BH207" s="139">
        <f t="shared" si="530"/>
        <v>23.655913978494624</v>
      </c>
      <c r="BI207" s="139">
        <f t="shared" si="531"/>
        <v>17.600000000000001</v>
      </c>
      <c r="BJ207" s="139">
        <f t="shared" si="532"/>
        <v>23.655913978494624</v>
      </c>
      <c r="BK207" s="139">
        <f t="shared" si="541"/>
        <v>17.600000000000001</v>
      </c>
    </row>
    <row r="209" spans="1:63">
      <c r="A209" s="128" t="s">
        <v>201</v>
      </c>
      <c r="B209" s="120" t="s">
        <v>172</v>
      </c>
      <c r="C209" s="120" t="s">
        <v>173</v>
      </c>
      <c r="E209" s="120" t="s">
        <v>174</v>
      </c>
      <c r="F209" s="120"/>
      <c r="G209" s="120"/>
      <c r="J209" s="305" t="s">
        <v>177</v>
      </c>
      <c r="K209" s="306"/>
      <c r="L209" s="307"/>
      <c r="M209" s="305" t="s">
        <v>178</v>
      </c>
      <c r="N209" s="306"/>
      <c r="O209" s="307"/>
      <c r="P209" s="305" t="s">
        <v>179</v>
      </c>
      <c r="Q209" s="306"/>
      <c r="R209" s="306"/>
      <c r="S209" s="308" t="s">
        <v>180</v>
      </c>
      <c r="T209" s="308"/>
      <c r="U209" s="308"/>
      <c r="Z209" s="305" t="s">
        <v>177</v>
      </c>
      <c r="AA209" s="306"/>
      <c r="AB209" s="307"/>
      <c r="AC209" s="305" t="s">
        <v>178</v>
      </c>
      <c r="AD209" s="306"/>
      <c r="AE209" s="307"/>
      <c r="AF209" s="305" t="s">
        <v>179</v>
      </c>
      <c r="AG209" s="306"/>
      <c r="AH209" s="306"/>
      <c r="AI209" s="308" t="s">
        <v>180</v>
      </c>
      <c r="AJ209" s="308"/>
      <c r="AK209" s="308"/>
      <c r="AL209" s="128"/>
      <c r="AP209" s="305" t="s">
        <v>177</v>
      </c>
      <c r="AQ209" s="306"/>
      <c r="AR209" s="307"/>
      <c r="AS209" s="305" t="s">
        <v>178</v>
      </c>
      <c r="AT209" s="306"/>
      <c r="AU209" s="307"/>
      <c r="AV209" s="305" t="s">
        <v>179</v>
      </c>
      <c r="AW209" s="306"/>
      <c r="AX209" s="306"/>
      <c r="AY209" s="308" t="s">
        <v>180</v>
      </c>
      <c r="AZ209" s="308"/>
      <c r="BA209" s="308"/>
      <c r="BD209" s="310" t="s">
        <v>177</v>
      </c>
      <c r="BE209" s="311"/>
      <c r="BF209" s="310" t="s">
        <v>178</v>
      </c>
      <c r="BG209" s="311"/>
      <c r="BH209" s="310" t="s">
        <v>181</v>
      </c>
      <c r="BI209" s="311"/>
      <c r="BJ209" s="308" t="s">
        <v>180</v>
      </c>
      <c r="BK209" s="308"/>
    </row>
    <row r="210" spans="1:63" ht="13.8" thickBot="1">
      <c r="D210" s="118" t="s">
        <v>176</v>
      </c>
      <c r="E210" s="118" t="s">
        <v>175</v>
      </c>
      <c r="J210" s="117" t="s">
        <v>205</v>
      </c>
      <c r="K210" s="117" t="s">
        <v>176</v>
      </c>
      <c r="L210" s="117" t="s">
        <v>175</v>
      </c>
      <c r="M210" s="117" t="s">
        <v>205</v>
      </c>
      <c r="N210" s="117" t="s">
        <v>176</v>
      </c>
      <c r="O210" s="117" t="s">
        <v>175</v>
      </c>
      <c r="P210" s="117" t="s">
        <v>205</v>
      </c>
      <c r="Q210" s="117" t="s">
        <v>176</v>
      </c>
      <c r="R210" s="117" t="s">
        <v>175</v>
      </c>
      <c r="S210" s="137" t="s">
        <v>205</v>
      </c>
      <c r="T210" s="137" t="s">
        <v>176</v>
      </c>
      <c r="U210" s="137" t="s">
        <v>175</v>
      </c>
      <c r="Z210" s="117" t="s">
        <v>205</v>
      </c>
      <c r="AA210" s="117" t="s">
        <v>176</v>
      </c>
      <c r="AB210" s="117" t="s">
        <v>175</v>
      </c>
      <c r="AC210" s="117" t="s">
        <v>205</v>
      </c>
      <c r="AD210" s="117" t="s">
        <v>176</v>
      </c>
      <c r="AE210" s="117" t="s">
        <v>175</v>
      </c>
      <c r="AF210" s="117" t="s">
        <v>205</v>
      </c>
      <c r="AG210" s="117" t="s">
        <v>176</v>
      </c>
      <c r="AH210" s="117" t="s">
        <v>175</v>
      </c>
      <c r="AI210" s="137" t="s">
        <v>205</v>
      </c>
      <c r="AJ210" s="137" t="s">
        <v>176</v>
      </c>
      <c r="AK210" s="137" t="s">
        <v>175</v>
      </c>
      <c r="AP210" s="117" t="s">
        <v>205</v>
      </c>
      <c r="AQ210" s="117" t="s">
        <v>176</v>
      </c>
      <c r="AR210" s="117" t="s">
        <v>175</v>
      </c>
      <c r="AS210" s="117" t="s">
        <v>205</v>
      </c>
      <c r="AT210" s="117" t="s">
        <v>176</v>
      </c>
      <c r="AU210" s="117" t="s">
        <v>175</v>
      </c>
      <c r="AV210" s="117" t="s">
        <v>205</v>
      </c>
      <c r="AW210" s="117" t="s">
        <v>176</v>
      </c>
      <c r="AX210" s="117" t="s">
        <v>175</v>
      </c>
      <c r="AY210" s="137" t="s">
        <v>205</v>
      </c>
      <c r="AZ210" s="137" t="s">
        <v>176</v>
      </c>
      <c r="BA210" s="137" t="s">
        <v>175</v>
      </c>
      <c r="BD210" s="137" t="s">
        <v>176</v>
      </c>
      <c r="BE210" s="137" t="s">
        <v>175</v>
      </c>
      <c r="BF210" s="137" t="s">
        <v>176</v>
      </c>
      <c r="BG210" s="137" t="s">
        <v>175</v>
      </c>
      <c r="BH210" s="137" t="s">
        <v>176</v>
      </c>
      <c r="BI210" s="137" t="s">
        <v>175</v>
      </c>
      <c r="BJ210" s="137" t="s">
        <v>176</v>
      </c>
      <c r="BK210" s="137" t="s">
        <v>175</v>
      </c>
    </row>
    <row r="211" spans="1:63" ht="14.4">
      <c r="A211" s="121" t="s">
        <v>55</v>
      </c>
      <c r="B211" s="118">
        <v>31</v>
      </c>
      <c r="C211" s="118">
        <f>B211*24</f>
        <v>744</v>
      </c>
      <c r="D211" s="122">
        <f t="shared" ref="D211:D222" si="542">E211*1000/C211</f>
        <v>38.978494623655912</v>
      </c>
      <c r="E211" s="118">
        <v>29</v>
      </c>
      <c r="H211" s="123"/>
      <c r="J211" s="124">
        <v>1.75</v>
      </c>
      <c r="K211" s="125">
        <f t="shared" ref="K211:K222" si="543">J211*D211</f>
        <v>68.212365591397841</v>
      </c>
      <c r="L211" s="125">
        <f>$E211*J211</f>
        <v>50.75</v>
      </c>
      <c r="M211" s="124">
        <v>0.47</v>
      </c>
      <c r="N211" s="125">
        <f t="shared" ref="N211:N222" si="544">M211*D211</f>
        <v>18.319892473118276</v>
      </c>
      <c r="O211" s="125">
        <f>$E211*M211</f>
        <v>13.629999999999999</v>
      </c>
      <c r="P211" s="124">
        <v>1.02</v>
      </c>
      <c r="Q211" s="125">
        <f t="shared" ref="Q211:Q222" si="545">P211*D211</f>
        <v>39.758064516129032</v>
      </c>
      <c r="R211" s="125">
        <f>$E211*P211</f>
        <v>29.580000000000002</v>
      </c>
      <c r="S211" s="124">
        <v>1.02</v>
      </c>
      <c r="T211" s="125">
        <f t="shared" ref="T211:T222" si="546">S211*D211</f>
        <v>39.758064516129032</v>
      </c>
      <c r="U211" s="125">
        <f>$E211*S211</f>
        <v>29.580000000000002</v>
      </c>
      <c r="X211" s="123"/>
      <c r="Y211" s="123"/>
      <c r="Z211" s="124">
        <v>2.2000000000000002</v>
      </c>
      <c r="AA211" s="125">
        <f>Z211*$D211</f>
        <v>85.752688172043008</v>
      </c>
      <c r="AB211" s="125">
        <f t="shared" ref="AB211:AB222" si="547">$E211*Z211</f>
        <v>63.800000000000004</v>
      </c>
      <c r="AC211" s="124">
        <v>0.5</v>
      </c>
      <c r="AD211" s="125">
        <f>AC211*$D211</f>
        <v>19.489247311827956</v>
      </c>
      <c r="AE211" s="125">
        <f t="shared" ref="AE211:AE222" si="548">$E211*AC211</f>
        <v>14.5</v>
      </c>
      <c r="AF211" s="124">
        <v>1.01</v>
      </c>
      <c r="AG211" s="125">
        <f>AF211*$D211</f>
        <v>39.368279569892472</v>
      </c>
      <c r="AH211" s="125">
        <f t="shared" ref="AH211:AH222" si="549">$E211*AF211</f>
        <v>29.29</v>
      </c>
      <c r="AI211" s="124">
        <v>1.01</v>
      </c>
      <c r="AJ211" s="125">
        <f>AI211*$D211</f>
        <v>39.368279569892472</v>
      </c>
      <c r="AK211" s="125">
        <f t="shared" ref="AK211:AK222" si="550">$E211*AI211</f>
        <v>29.29</v>
      </c>
      <c r="AL211" s="162"/>
      <c r="AN211" s="123"/>
      <c r="AO211" s="123"/>
      <c r="AP211" s="124">
        <v>2.2200000000000002</v>
      </c>
      <c r="AQ211" s="125">
        <f>AP211*$D211</f>
        <v>86.532258064516128</v>
      </c>
      <c r="AR211" s="125">
        <f t="shared" ref="AR211:AR222" si="551">$E211*AP211</f>
        <v>64.38000000000001</v>
      </c>
      <c r="AS211" s="124">
        <v>0.57999999999999996</v>
      </c>
      <c r="AT211" s="125">
        <f>AS211*$D211</f>
        <v>22.607526881720428</v>
      </c>
      <c r="AU211" s="125">
        <f t="shared" ref="AU211:AU222" si="552">$E211*AS211</f>
        <v>16.82</v>
      </c>
      <c r="AV211" s="124">
        <v>0.94</v>
      </c>
      <c r="AW211" s="125">
        <f>AV211*$D211</f>
        <v>36.639784946236553</v>
      </c>
      <c r="AX211" s="125">
        <f t="shared" ref="AX211:AX222" si="553">$E211*AV211</f>
        <v>27.259999999999998</v>
      </c>
      <c r="AY211" s="124">
        <v>0.94</v>
      </c>
      <c r="AZ211" s="125">
        <f>AY211*$D211</f>
        <v>36.639784946236553</v>
      </c>
      <c r="BA211" s="125">
        <f t="shared" ref="BA211:BA222" si="554">$E211*AY211</f>
        <v>27.259999999999998</v>
      </c>
      <c r="BD211" s="139">
        <f>(K211+AQ211)/2</f>
        <v>77.372311827956992</v>
      </c>
      <c r="BE211" s="139">
        <f>(L211+AR211)/2</f>
        <v>57.565000000000005</v>
      </c>
      <c r="BF211" s="139">
        <f>(N211+AT211)/2</f>
        <v>20.463709677419352</v>
      </c>
      <c r="BG211" s="139">
        <f>(O211+AU211)/2</f>
        <v>15.225</v>
      </c>
      <c r="BH211" s="139">
        <f>(Q211+AW211)/2</f>
        <v>38.198924731182792</v>
      </c>
      <c r="BI211" s="139">
        <f>(R211+AX211)/2</f>
        <v>28.42</v>
      </c>
      <c r="BJ211" s="139">
        <f>(T211+AZ211)/2</f>
        <v>38.198924731182792</v>
      </c>
      <c r="BK211" s="139">
        <f>(U211+BA211)/2</f>
        <v>28.42</v>
      </c>
    </row>
    <row r="212" spans="1:63" ht="14.4">
      <c r="A212" s="126" t="s">
        <v>56</v>
      </c>
      <c r="B212" s="118">
        <v>28</v>
      </c>
      <c r="C212" s="118">
        <f t="shared" ref="C212:C222" si="555">B212*24</f>
        <v>672</v>
      </c>
      <c r="D212" s="122">
        <f t="shared" si="542"/>
        <v>77.38095238095238</v>
      </c>
      <c r="E212" s="118">
        <v>52</v>
      </c>
      <c r="H212" s="123"/>
      <c r="J212" s="124">
        <v>1.51</v>
      </c>
      <c r="K212" s="125">
        <f t="shared" si="543"/>
        <v>116.84523809523809</v>
      </c>
      <c r="L212" s="125">
        <f t="shared" ref="L212:L222" si="556">$E212*J212</f>
        <v>78.52</v>
      </c>
      <c r="M212" s="124">
        <v>0.46</v>
      </c>
      <c r="N212" s="125">
        <f t="shared" si="544"/>
        <v>35.595238095238095</v>
      </c>
      <c r="O212" s="125">
        <f t="shared" ref="O212:O222" si="557">$E212*M212</f>
        <v>23.92</v>
      </c>
      <c r="P212" s="124">
        <v>1.01</v>
      </c>
      <c r="Q212" s="125">
        <f t="shared" si="545"/>
        <v>78.154761904761898</v>
      </c>
      <c r="R212" s="125">
        <f t="shared" ref="R212:R222" si="558">$E212*P212</f>
        <v>52.52</v>
      </c>
      <c r="S212" s="124">
        <v>1.01</v>
      </c>
      <c r="T212" s="125">
        <f t="shared" si="546"/>
        <v>78.154761904761898</v>
      </c>
      <c r="U212" s="125">
        <f t="shared" ref="U212:U222" si="559">$E212*S212</f>
        <v>52.52</v>
      </c>
      <c r="X212" s="123"/>
      <c r="Y212" s="123"/>
      <c r="Z212" s="124">
        <v>1.76</v>
      </c>
      <c r="AA212" s="125">
        <f t="shared" ref="AA212:AA213" si="560">Z212*$D212</f>
        <v>136.19047619047618</v>
      </c>
      <c r="AB212" s="125">
        <f t="shared" si="547"/>
        <v>91.52</v>
      </c>
      <c r="AC212" s="124">
        <v>0.48</v>
      </c>
      <c r="AD212" s="125">
        <f t="shared" ref="AD212:AD213" si="561">AC212*$D212</f>
        <v>37.142857142857139</v>
      </c>
      <c r="AE212" s="125">
        <f t="shared" si="548"/>
        <v>24.96</v>
      </c>
      <c r="AF212" s="124">
        <v>1</v>
      </c>
      <c r="AG212" s="125">
        <f t="shared" ref="AG212:AG213" si="562">AF212*$D212</f>
        <v>77.38095238095238</v>
      </c>
      <c r="AH212" s="125">
        <f t="shared" si="549"/>
        <v>52</v>
      </c>
      <c r="AI212" s="124">
        <v>1</v>
      </c>
      <c r="AJ212" s="125">
        <f t="shared" ref="AJ212:AJ213" si="563">AI212*$D212</f>
        <v>77.38095238095238</v>
      </c>
      <c r="AK212" s="125">
        <f t="shared" si="550"/>
        <v>52</v>
      </c>
      <c r="AL212" s="162"/>
      <c r="AN212" s="123"/>
      <c r="AO212" s="123"/>
      <c r="AP212" s="124">
        <v>1.72</v>
      </c>
      <c r="AQ212" s="125">
        <f t="shared" ref="AQ212:AQ222" si="564">AP212*$D212</f>
        <v>133.0952380952381</v>
      </c>
      <c r="AR212" s="125">
        <f t="shared" si="551"/>
        <v>89.44</v>
      </c>
      <c r="AS212" s="124">
        <v>0.56999999999999995</v>
      </c>
      <c r="AT212" s="125">
        <f t="shared" ref="AT212:AT222" si="565">AS212*$D212</f>
        <v>44.107142857142854</v>
      </c>
      <c r="AU212" s="125">
        <f t="shared" si="552"/>
        <v>29.639999999999997</v>
      </c>
      <c r="AV212" s="124">
        <v>0.94</v>
      </c>
      <c r="AW212" s="125">
        <f t="shared" ref="AW212:AW222" si="566">AV212*$D212</f>
        <v>72.738095238095227</v>
      </c>
      <c r="AX212" s="125">
        <f t="shared" si="553"/>
        <v>48.879999999999995</v>
      </c>
      <c r="AY212" s="124">
        <v>0.94</v>
      </c>
      <c r="AZ212" s="125">
        <f t="shared" ref="AZ212:AZ222" si="567">AY212*$D212</f>
        <v>72.738095238095227</v>
      </c>
      <c r="BA212" s="125">
        <f t="shared" si="554"/>
        <v>48.879999999999995</v>
      </c>
      <c r="BD212" s="139">
        <f t="shared" ref="BD212:BD222" si="568">(K212+AQ212)/2</f>
        <v>124.9702380952381</v>
      </c>
      <c r="BE212" s="139">
        <f t="shared" ref="BE212:BE217" si="569">(L212+AR212)/2</f>
        <v>83.97999999999999</v>
      </c>
      <c r="BF212" s="139">
        <f t="shared" ref="BF212:BF222" si="570">(N212+AT212)/2</f>
        <v>39.851190476190474</v>
      </c>
      <c r="BG212" s="139">
        <f t="shared" ref="BG212:BG217" si="571">(O212+AU212)/2</f>
        <v>26.78</v>
      </c>
      <c r="BH212" s="139">
        <f t="shared" ref="BH212:BH222" si="572">(Q212+AW212)/2</f>
        <v>75.446428571428555</v>
      </c>
      <c r="BI212" s="139">
        <f t="shared" ref="BI212:BI222" si="573">(R212+AX212)/2</f>
        <v>50.7</v>
      </c>
      <c r="BJ212" s="139">
        <f t="shared" ref="BJ212:BJ222" si="574">(T212+AZ212)/2</f>
        <v>75.446428571428555</v>
      </c>
      <c r="BK212" s="139">
        <f t="shared" ref="BK212:BK215" si="575">(U212+BA212)/2</f>
        <v>50.7</v>
      </c>
    </row>
    <row r="213" spans="1:63" ht="14.4">
      <c r="A213" s="126" t="s">
        <v>57</v>
      </c>
      <c r="B213" s="118">
        <v>31</v>
      </c>
      <c r="C213" s="118">
        <f t="shared" si="555"/>
        <v>744</v>
      </c>
      <c r="D213" s="122">
        <f t="shared" si="542"/>
        <v>116.93548387096774</v>
      </c>
      <c r="E213" s="118">
        <v>87</v>
      </c>
      <c r="H213" s="123"/>
      <c r="J213" s="124">
        <v>1.26</v>
      </c>
      <c r="K213" s="125">
        <f t="shared" si="543"/>
        <v>147.33870967741936</v>
      </c>
      <c r="L213" s="125">
        <f t="shared" si="556"/>
        <v>109.62</v>
      </c>
      <c r="M213" s="124">
        <v>0.56000000000000005</v>
      </c>
      <c r="N213" s="125">
        <f t="shared" si="544"/>
        <v>65.483870967741936</v>
      </c>
      <c r="O213" s="125">
        <f t="shared" si="557"/>
        <v>48.720000000000006</v>
      </c>
      <c r="P213" s="124">
        <v>1</v>
      </c>
      <c r="Q213" s="125">
        <f t="shared" si="545"/>
        <v>116.93548387096774</v>
      </c>
      <c r="R213" s="125">
        <f t="shared" si="558"/>
        <v>87</v>
      </c>
      <c r="S213" s="124">
        <v>1</v>
      </c>
      <c r="T213" s="125">
        <f t="shared" si="546"/>
        <v>116.93548387096774</v>
      </c>
      <c r="U213" s="125">
        <f t="shared" si="559"/>
        <v>87</v>
      </c>
      <c r="X213" s="123"/>
      <c r="Y213" s="123"/>
      <c r="Z213" s="124">
        <v>1.35</v>
      </c>
      <c r="AA213" s="125">
        <f t="shared" si="560"/>
        <v>157.86290322580646</v>
      </c>
      <c r="AB213" s="125">
        <f t="shared" si="547"/>
        <v>117.45</v>
      </c>
      <c r="AC213" s="124">
        <v>0.46</v>
      </c>
      <c r="AD213" s="125">
        <f t="shared" si="561"/>
        <v>53.790322580645167</v>
      </c>
      <c r="AE213" s="125">
        <f t="shared" si="548"/>
        <v>40.020000000000003</v>
      </c>
      <c r="AF213" s="124">
        <v>0.95</v>
      </c>
      <c r="AG213" s="125">
        <f t="shared" si="562"/>
        <v>111.08870967741935</v>
      </c>
      <c r="AH213" s="125">
        <f t="shared" si="549"/>
        <v>82.649999999999991</v>
      </c>
      <c r="AI213" s="124">
        <v>0.95</v>
      </c>
      <c r="AJ213" s="125">
        <f t="shared" si="563"/>
        <v>111.08870967741935</v>
      </c>
      <c r="AK213" s="125">
        <f t="shared" si="550"/>
        <v>82.649999999999991</v>
      </c>
      <c r="AL213" s="162"/>
      <c r="AN213" s="123"/>
      <c r="AO213" s="123"/>
      <c r="AP213" s="124">
        <v>1.22</v>
      </c>
      <c r="AQ213" s="125">
        <f t="shared" si="564"/>
        <v>142.66129032258064</v>
      </c>
      <c r="AR213" s="125">
        <f t="shared" si="551"/>
        <v>106.14</v>
      </c>
      <c r="AS213" s="124">
        <v>0.53</v>
      </c>
      <c r="AT213" s="125">
        <f t="shared" si="565"/>
        <v>61.975806451612904</v>
      </c>
      <c r="AU213" s="125">
        <f t="shared" si="552"/>
        <v>46.11</v>
      </c>
      <c r="AV213" s="124">
        <v>0.86</v>
      </c>
      <c r="AW213" s="125">
        <f t="shared" si="566"/>
        <v>100.56451612903226</v>
      </c>
      <c r="AX213" s="125">
        <f t="shared" si="553"/>
        <v>74.819999999999993</v>
      </c>
      <c r="AY213" s="124">
        <v>0.86</v>
      </c>
      <c r="AZ213" s="125">
        <f t="shared" si="567"/>
        <v>100.56451612903226</v>
      </c>
      <c r="BA213" s="125">
        <f t="shared" si="554"/>
        <v>74.819999999999993</v>
      </c>
      <c r="BD213" s="139">
        <f t="shared" si="568"/>
        <v>145</v>
      </c>
      <c r="BE213" s="139">
        <f t="shared" si="569"/>
        <v>107.88</v>
      </c>
      <c r="BF213" s="139">
        <f t="shared" si="570"/>
        <v>63.729838709677423</v>
      </c>
      <c r="BG213" s="139">
        <f t="shared" si="571"/>
        <v>47.415000000000006</v>
      </c>
      <c r="BH213" s="139">
        <f t="shared" si="572"/>
        <v>108.75</v>
      </c>
      <c r="BI213" s="139">
        <f t="shared" si="573"/>
        <v>80.91</v>
      </c>
      <c r="BJ213" s="139">
        <f t="shared" si="574"/>
        <v>108.75</v>
      </c>
      <c r="BK213" s="139">
        <f t="shared" si="575"/>
        <v>80.91</v>
      </c>
    </row>
    <row r="214" spans="1:63" ht="14.4">
      <c r="A214" s="126" t="s">
        <v>58</v>
      </c>
      <c r="B214" s="118">
        <v>30</v>
      </c>
      <c r="C214" s="118">
        <f t="shared" si="555"/>
        <v>720</v>
      </c>
      <c r="D214" s="122">
        <f t="shared" si="542"/>
        <v>177.77777777777777</v>
      </c>
      <c r="E214" s="118">
        <v>128</v>
      </c>
      <c r="H214" s="123"/>
      <c r="J214" s="124">
        <v>1.1000000000000001</v>
      </c>
      <c r="K214" s="125">
        <f t="shared" si="543"/>
        <v>195.55555555555557</v>
      </c>
      <c r="L214" s="125">
        <f t="shared" si="556"/>
        <v>140.80000000000001</v>
      </c>
      <c r="M214" s="124">
        <v>0.71</v>
      </c>
      <c r="N214" s="125">
        <f t="shared" si="544"/>
        <v>126.22222222222221</v>
      </c>
      <c r="O214" s="125">
        <f t="shared" si="557"/>
        <v>90.88</v>
      </c>
      <c r="P214" s="124">
        <v>0.97</v>
      </c>
      <c r="Q214" s="125">
        <f t="shared" si="545"/>
        <v>172.44444444444443</v>
      </c>
      <c r="R214" s="125">
        <f t="shared" si="558"/>
        <v>124.16</v>
      </c>
      <c r="S214" s="124">
        <v>0.97</v>
      </c>
      <c r="T214" s="125">
        <f t="shared" si="546"/>
        <v>172.44444444444443</v>
      </c>
      <c r="U214" s="125">
        <f t="shared" si="559"/>
        <v>124.16</v>
      </c>
      <c r="X214" s="123"/>
      <c r="Y214" s="123"/>
      <c r="Z214" s="124">
        <v>1.04</v>
      </c>
      <c r="AA214" s="125">
        <f>Z214*$D214</f>
        <v>184.88888888888889</v>
      </c>
      <c r="AB214" s="125">
        <f t="shared" si="547"/>
        <v>133.12</v>
      </c>
      <c r="AC214" s="124">
        <v>0.42</v>
      </c>
      <c r="AD214" s="125">
        <f>AC214*$D214</f>
        <v>74.666666666666657</v>
      </c>
      <c r="AE214" s="125">
        <f t="shared" si="548"/>
        <v>53.76</v>
      </c>
      <c r="AF214" s="124">
        <v>0.87</v>
      </c>
      <c r="AG214" s="125">
        <f>AF214*$D214</f>
        <v>154.66666666666666</v>
      </c>
      <c r="AH214" s="125">
        <f t="shared" si="549"/>
        <v>111.36</v>
      </c>
      <c r="AI214" s="124">
        <v>0.87</v>
      </c>
      <c r="AJ214" s="125">
        <f>AI214*$D214</f>
        <v>154.66666666666666</v>
      </c>
      <c r="AK214" s="125">
        <f t="shared" si="550"/>
        <v>111.36</v>
      </c>
      <c r="AL214" s="162"/>
      <c r="AN214" s="123"/>
      <c r="AO214" s="123"/>
      <c r="AP214" s="124">
        <v>0.82</v>
      </c>
      <c r="AQ214" s="125">
        <f>AP214*$D214</f>
        <v>145.77777777777777</v>
      </c>
      <c r="AR214" s="125">
        <f t="shared" si="551"/>
        <v>104.96</v>
      </c>
      <c r="AS214" s="124">
        <v>0.41</v>
      </c>
      <c r="AT214" s="125">
        <f>AS214*$D214</f>
        <v>72.888888888888886</v>
      </c>
      <c r="AU214" s="125">
        <f t="shared" si="552"/>
        <v>52.48</v>
      </c>
      <c r="AV214" s="124">
        <v>0.69</v>
      </c>
      <c r="AW214" s="125">
        <f>AV214*$D214</f>
        <v>122.66666666666666</v>
      </c>
      <c r="AX214" s="125">
        <f t="shared" si="553"/>
        <v>88.32</v>
      </c>
      <c r="AY214" s="124">
        <v>0.69</v>
      </c>
      <c r="AZ214" s="125">
        <f>AY214*$D214</f>
        <v>122.66666666666666</v>
      </c>
      <c r="BA214" s="125">
        <f t="shared" si="554"/>
        <v>88.32</v>
      </c>
      <c r="BD214" s="139">
        <f t="shared" si="568"/>
        <v>170.66666666666669</v>
      </c>
      <c r="BE214" s="139">
        <f t="shared" si="569"/>
        <v>122.88</v>
      </c>
      <c r="BF214" s="139">
        <f t="shared" si="570"/>
        <v>99.555555555555543</v>
      </c>
      <c r="BG214" s="139">
        <f t="shared" si="571"/>
        <v>71.679999999999993</v>
      </c>
      <c r="BH214" s="139">
        <f t="shared" si="572"/>
        <v>147.55555555555554</v>
      </c>
      <c r="BI214" s="139">
        <f t="shared" si="573"/>
        <v>106.24</v>
      </c>
      <c r="BJ214" s="139">
        <f t="shared" si="574"/>
        <v>147.55555555555554</v>
      </c>
      <c r="BK214" s="139">
        <f t="shared" si="575"/>
        <v>106.24</v>
      </c>
    </row>
    <row r="215" spans="1:63" ht="14.4">
      <c r="A215" s="126" t="s">
        <v>183</v>
      </c>
      <c r="B215" s="118">
        <v>31</v>
      </c>
      <c r="C215" s="118">
        <f t="shared" si="555"/>
        <v>744</v>
      </c>
      <c r="D215" s="122">
        <f t="shared" si="542"/>
        <v>201.61290322580646</v>
      </c>
      <c r="E215" s="118">
        <v>150</v>
      </c>
      <c r="H215" s="123"/>
      <c r="J215" s="124">
        <v>1.01</v>
      </c>
      <c r="K215" s="125">
        <f t="shared" si="543"/>
        <v>203.62903225806454</v>
      </c>
      <c r="L215" s="125">
        <f t="shared" si="556"/>
        <v>151.5</v>
      </c>
      <c r="M215" s="124">
        <v>0.81</v>
      </c>
      <c r="N215" s="125">
        <f t="shared" si="544"/>
        <v>163.30645161290323</v>
      </c>
      <c r="O215" s="125">
        <f t="shared" si="557"/>
        <v>121.50000000000001</v>
      </c>
      <c r="P215" s="124">
        <v>0.96</v>
      </c>
      <c r="Q215" s="125">
        <f t="shared" si="545"/>
        <v>193.54838709677421</v>
      </c>
      <c r="R215" s="125">
        <f t="shared" si="558"/>
        <v>144</v>
      </c>
      <c r="S215" s="124">
        <v>0.96</v>
      </c>
      <c r="T215" s="125">
        <f t="shared" si="546"/>
        <v>193.54838709677421</v>
      </c>
      <c r="U215" s="125">
        <f t="shared" si="559"/>
        <v>144</v>
      </c>
      <c r="X215" s="123"/>
      <c r="Y215" s="123"/>
      <c r="Z215" s="124">
        <v>0.87</v>
      </c>
      <c r="AA215" s="125">
        <f t="shared" ref="AA215:AA222" si="576">Z215*$D215</f>
        <v>175.40322580645162</v>
      </c>
      <c r="AB215" s="125">
        <f t="shared" si="547"/>
        <v>130.5</v>
      </c>
      <c r="AC215" s="124">
        <v>0.44</v>
      </c>
      <c r="AD215" s="125">
        <f t="shared" ref="AD215:AD222" si="577">AC215*$D215</f>
        <v>88.709677419354847</v>
      </c>
      <c r="AE215" s="125">
        <f t="shared" si="548"/>
        <v>66</v>
      </c>
      <c r="AF215" s="124">
        <v>0.82</v>
      </c>
      <c r="AG215" s="125">
        <f t="shared" ref="AG215:AG222" si="578">AF215*$D215</f>
        <v>165.32258064516128</v>
      </c>
      <c r="AH215" s="125">
        <f t="shared" si="549"/>
        <v>122.99999999999999</v>
      </c>
      <c r="AI215" s="124">
        <v>0.82</v>
      </c>
      <c r="AJ215" s="125">
        <f t="shared" ref="AJ215:AJ222" si="579">AI215*$D215</f>
        <v>165.32258064516128</v>
      </c>
      <c r="AK215" s="125">
        <f t="shared" si="550"/>
        <v>122.99999999999999</v>
      </c>
      <c r="AL215" s="162"/>
      <c r="AN215" s="123"/>
      <c r="AO215" s="123"/>
      <c r="AP215" s="124">
        <v>0.6</v>
      </c>
      <c r="AQ215" s="125">
        <f t="shared" si="564"/>
        <v>120.96774193548387</v>
      </c>
      <c r="AR215" s="125">
        <f t="shared" si="551"/>
        <v>90</v>
      </c>
      <c r="AS215" s="124">
        <v>0.37</v>
      </c>
      <c r="AT215" s="125">
        <f t="shared" si="565"/>
        <v>74.596774193548384</v>
      </c>
      <c r="AU215" s="125">
        <f t="shared" si="552"/>
        <v>55.5</v>
      </c>
      <c r="AV215" s="124">
        <v>0.6</v>
      </c>
      <c r="AW215" s="125">
        <f t="shared" si="566"/>
        <v>120.96774193548387</v>
      </c>
      <c r="AX215" s="125">
        <f t="shared" si="553"/>
        <v>90</v>
      </c>
      <c r="AY215" s="124">
        <v>0.6</v>
      </c>
      <c r="AZ215" s="125">
        <f t="shared" si="567"/>
        <v>120.96774193548387</v>
      </c>
      <c r="BA215" s="125">
        <f t="shared" si="554"/>
        <v>90</v>
      </c>
      <c r="BD215" s="139">
        <f t="shared" si="568"/>
        <v>162.29838709677421</v>
      </c>
      <c r="BE215" s="139">
        <f t="shared" si="569"/>
        <v>120.75</v>
      </c>
      <c r="BF215" s="139">
        <f t="shared" si="570"/>
        <v>118.95161290322581</v>
      </c>
      <c r="BG215" s="139">
        <f t="shared" si="571"/>
        <v>88.5</v>
      </c>
      <c r="BH215" s="139">
        <f t="shared" si="572"/>
        <v>157.25806451612902</v>
      </c>
      <c r="BI215" s="139">
        <f t="shared" si="573"/>
        <v>117</v>
      </c>
      <c r="BJ215" s="139">
        <f t="shared" si="574"/>
        <v>157.25806451612902</v>
      </c>
      <c r="BK215" s="139">
        <f t="shared" si="575"/>
        <v>117</v>
      </c>
    </row>
    <row r="216" spans="1:63" ht="14.4">
      <c r="A216" s="126" t="s">
        <v>184</v>
      </c>
      <c r="B216" s="118">
        <v>30</v>
      </c>
      <c r="C216" s="118">
        <f t="shared" si="555"/>
        <v>720</v>
      </c>
      <c r="D216" s="122">
        <f t="shared" si="542"/>
        <v>223.61111111111111</v>
      </c>
      <c r="E216" s="118">
        <v>161</v>
      </c>
      <c r="H216" s="123"/>
      <c r="I216" s="117" t="s">
        <v>196</v>
      </c>
      <c r="J216" s="124">
        <v>0.97</v>
      </c>
      <c r="K216" s="125">
        <f t="shared" si="543"/>
        <v>216.90277777777777</v>
      </c>
      <c r="L216" s="125">
        <f t="shared" si="556"/>
        <v>156.16999999999999</v>
      </c>
      <c r="M216" s="124">
        <v>0.83</v>
      </c>
      <c r="N216" s="125">
        <f t="shared" si="544"/>
        <v>185.59722222222223</v>
      </c>
      <c r="O216" s="125">
        <f t="shared" si="557"/>
        <v>133.63</v>
      </c>
      <c r="P216" s="124">
        <v>0.95</v>
      </c>
      <c r="Q216" s="125">
        <f t="shared" si="545"/>
        <v>212.43055555555554</v>
      </c>
      <c r="R216" s="125">
        <f t="shared" si="558"/>
        <v>152.94999999999999</v>
      </c>
      <c r="S216" s="124">
        <v>0.95</v>
      </c>
      <c r="T216" s="125">
        <f t="shared" si="546"/>
        <v>212.43055555555554</v>
      </c>
      <c r="U216" s="125">
        <f t="shared" si="559"/>
        <v>152.94999999999999</v>
      </c>
      <c r="W216" s="117" t="s">
        <v>196</v>
      </c>
      <c r="X216" s="123"/>
      <c r="Y216" s="123"/>
      <c r="Z216" s="124">
        <v>0.79</v>
      </c>
      <c r="AA216" s="125">
        <f t="shared" si="576"/>
        <v>176.6527777777778</v>
      </c>
      <c r="AB216" s="125">
        <f t="shared" si="547"/>
        <v>127.19000000000001</v>
      </c>
      <c r="AC216" s="124">
        <v>0.47</v>
      </c>
      <c r="AD216" s="125">
        <f t="shared" si="577"/>
        <v>105.09722222222221</v>
      </c>
      <c r="AE216" s="125">
        <f t="shared" si="548"/>
        <v>75.67</v>
      </c>
      <c r="AF216" s="124">
        <v>0.79</v>
      </c>
      <c r="AG216" s="125">
        <f t="shared" si="578"/>
        <v>176.6527777777778</v>
      </c>
      <c r="AH216" s="125">
        <f t="shared" si="549"/>
        <v>127.19000000000001</v>
      </c>
      <c r="AI216" s="124">
        <v>0.79</v>
      </c>
      <c r="AJ216" s="125">
        <f t="shared" si="579"/>
        <v>176.6527777777778</v>
      </c>
      <c r="AK216" s="125">
        <f t="shared" si="550"/>
        <v>127.19000000000001</v>
      </c>
      <c r="AL216" s="162"/>
      <c r="AM216" s="117" t="s">
        <v>196</v>
      </c>
      <c r="AN216" s="123"/>
      <c r="AO216" s="123"/>
      <c r="AP216" s="124">
        <v>0.52</v>
      </c>
      <c r="AQ216" s="125">
        <f t="shared" si="564"/>
        <v>116.27777777777779</v>
      </c>
      <c r="AR216" s="125">
        <f t="shared" si="551"/>
        <v>83.72</v>
      </c>
      <c r="AS216" s="124">
        <v>0.35</v>
      </c>
      <c r="AT216" s="125">
        <f t="shared" si="565"/>
        <v>78.263888888888886</v>
      </c>
      <c r="AU216" s="125">
        <f t="shared" si="552"/>
        <v>56.349999999999994</v>
      </c>
      <c r="AV216" s="124">
        <v>0.56000000000000005</v>
      </c>
      <c r="AW216" s="125">
        <f t="shared" si="566"/>
        <v>125.22222222222224</v>
      </c>
      <c r="AX216" s="125">
        <f t="shared" si="553"/>
        <v>90.160000000000011</v>
      </c>
      <c r="AY216" s="124">
        <v>0.56000000000000005</v>
      </c>
      <c r="AZ216" s="125">
        <f t="shared" si="567"/>
        <v>125.22222222222224</v>
      </c>
      <c r="BA216" s="125">
        <f t="shared" si="554"/>
        <v>90.160000000000011</v>
      </c>
      <c r="BC216" s="117" t="s">
        <v>196</v>
      </c>
      <c r="BD216" s="139">
        <f t="shared" si="568"/>
        <v>166.59027777777777</v>
      </c>
      <c r="BE216" s="139">
        <f t="shared" si="569"/>
        <v>119.94499999999999</v>
      </c>
      <c r="BF216" s="139">
        <f t="shared" si="570"/>
        <v>131.93055555555554</v>
      </c>
      <c r="BG216" s="139">
        <f t="shared" si="571"/>
        <v>94.99</v>
      </c>
      <c r="BH216" s="139">
        <f t="shared" si="572"/>
        <v>168.82638888888889</v>
      </c>
      <c r="BI216" s="139">
        <f t="shared" si="573"/>
        <v>121.55500000000001</v>
      </c>
      <c r="BJ216" s="139">
        <f t="shared" si="574"/>
        <v>168.82638888888889</v>
      </c>
      <c r="BK216" s="139">
        <f>(U216+BA216)/2</f>
        <v>121.55500000000001</v>
      </c>
    </row>
    <row r="217" spans="1:63" ht="14.4">
      <c r="A217" s="126" t="s">
        <v>185</v>
      </c>
      <c r="B217" s="118">
        <v>31</v>
      </c>
      <c r="C217" s="118">
        <f t="shared" si="555"/>
        <v>744</v>
      </c>
      <c r="D217" s="122">
        <f t="shared" si="542"/>
        <v>212.36559139784947</v>
      </c>
      <c r="E217" s="118">
        <v>158</v>
      </c>
      <c r="H217" s="123"/>
      <c r="I217" s="117" t="s">
        <v>247</v>
      </c>
      <c r="J217" s="124">
        <v>0.99</v>
      </c>
      <c r="K217" s="125">
        <f t="shared" si="543"/>
        <v>210.24193548387098</v>
      </c>
      <c r="L217" s="125">
        <f t="shared" si="556"/>
        <v>156.41999999999999</v>
      </c>
      <c r="M217" s="124">
        <v>0.82</v>
      </c>
      <c r="N217" s="125">
        <f t="shared" si="544"/>
        <v>174.13978494623655</v>
      </c>
      <c r="O217" s="125">
        <f t="shared" si="557"/>
        <v>129.56</v>
      </c>
      <c r="P217" s="124">
        <v>0.95</v>
      </c>
      <c r="Q217" s="125">
        <f t="shared" si="545"/>
        <v>201.74731182795699</v>
      </c>
      <c r="R217" s="125">
        <f t="shared" si="558"/>
        <v>150.1</v>
      </c>
      <c r="S217" s="124">
        <v>0.95</v>
      </c>
      <c r="T217" s="125">
        <f t="shared" si="546"/>
        <v>201.74731182795699</v>
      </c>
      <c r="U217" s="125">
        <f t="shared" si="559"/>
        <v>150.1</v>
      </c>
      <c r="W217" s="117" t="s">
        <v>247</v>
      </c>
      <c r="X217" s="123"/>
      <c r="Y217" s="123"/>
      <c r="Z217" s="124">
        <v>0.81</v>
      </c>
      <c r="AA217" s="125">
        <f t="shared" si="576"/>
        <v>172.01612903225808</v>
      </c>
      <c r="AB217" s="125">
        <f t="shared" si="547"/>
        <v>127.98</v>
      </c>
      <c r="AC217" s="124">
        <v>0.44</v>
      </c>
      <c r="AD217" s="125">
        <f t="shared" si="577"/>
        <v>93.440860215053775</v>
      </c>
      <c r="AE217" s="125">
        <f t="shared" si="548"/>
        <v>69.52</v>
      </c>
      <c r="AF217" s="124">
        <v>0.79</v>
      </c>
      <c r="AG217" s="125">
        <f t="shared" si="578"/>
        <v>167.76881720430109</v>
      </c>
      <c r="AH217" s="125">
        <f t="shared" si="549"/>
        <v>124.82000000000001</v>
      </c>
      <c r="AI217" s="124">
        <v>0.79</v>
      </c>
      <c r="AJ217" s="125">
        <f t="shared" si="579"/>
        <v>167.76881720430109</v>
      </c>
      <c r="AK217" s="125">
        <f t="shared" si="550"/>
        <v>124.82000000000001</v>
      </c>
      <c r="AL217" s="162"/>
      <c r="AM217" s="117" t="s">
        <v>247</v>
      </c>
      <c r="AN217" s="123"/>
      <c r="AO217" s="123"/>
      <c r="AP217" s="124">
        <v>0.53</v>
      </c>
      <c r="AQ217" s="125">
        <f t="shared" si="564"/>
        <v>112.55376344086022</v>
      </c>
      <c r="AR217" s="125">
        <f t="shared" si="551"/>
        <v>83.740000000000009</v>
      </c>
      <c r="AS217" s="124">
        <v>0.34</v>
      </c>
      <c r="AT217" s="125">
        <f t="shared" si="565"/>
        <v>72.20430107526883</v>
      </c>
      <c r="AU217" s="125">
        <f t="shared" si="552"/>
        <v>53.720000000000006</v>
      </c>
      <c r="AV217" s="124">
        <v>0.55000000000000004</v>
      </c>
      <c r="AW217" s="125">
        <f t="shared" si="566"/>
        <v>116.80107526881721</v>
      </c>
      <c r="AX217" s="125">
        <f t="shared" si="553"/>
        <v>86.9</v>
      </c>
      <c r="AY217" s="124">
        <v>0.55000000000000004</v>
      </c>
      <c r="AZ217" s="125">
        <f t="shared" si="567"/>
        <v>116.80107526881721</v>
      </c>
      <c r="BA217" s="125">
        <f t="shared" si="554"/>
        <v>86.9</v>
      </c>
      <c r="BC217" s="117" t="s">
        <v>247</v>
      </c>
      <c r="BD217" s="139">
        <f t="shared" si="568"/>
        <v>161.3978494623656</v>
      </c>
      <c r="BE217" s="139">
        <f t="shared" si="569"/>
        <v>120.08</v>
      </c>
      <c r="BF217" s="139">
        <f t="shared" si="570"/>
        <v>123.17204301075269</v>
      </c>
      <c r="BG217" s="139">
        <f t="shared" si="571"/>
        <v>91.64</v>
      </c>
      <c r="BH217" s="139">
        <f t="shared" si="572"/>
        <v>159.2741935483871</v>
      </c>
      <c r="BI217" s="139">
        <f t="shared" si="573"/>
        <v>118.5</v>
      </c>
      <c r="BJ217" s="139">
        <f t="shared" si="574"/>
        <v>159.2741935483871</v>
      </c>
      <c r="BK217" s="139">
        <f t="shared" ref="BK217:BK218" si="580">(U217+BA217)/2</f>
        <v>118.5</v>
      </c>
    </row>
    <row r="218" spans="1:63" ht="14.4">
      <c r="A218" s="126" t="s">
        <v>186</v>
      </c>
      <c r="B218" s="118">
        <v>31</v>
      </c>
      <c r="C218" s="118">
        <f t="shared" si="555"/>
        <v>744</v>
      </c>
      <c r="D218" s="122">
        <f t="shared" si="542"/>
        <v>190.86021505376345</v>
      </c>
      <c r="E218" s="118">
        <v>142</v>
      </c>
      <c r="H218" s="123"/>
      <c r="J218" s="124">
        <v>1.04</v>
      </c>
      <c r="K218" s="125">
        <f t="shared" si="543"/>
        <v>198.49462365591401</v>
      </c>
      <c r="L218" s="125">
        <f t="shared" si="556"/>
        <v>147.68</v>
      </c>
      <c r="M218" s="124">
        <v>0.74</v>
      </c>
      <c r="N218" s="125">
        <f t="shared" si="544"/>
        <v>141.23655913978496</v>
      </c>
      <c r="O218" s="125">
        <f t="shared" si="557"/>
        <v>105.08</v>
      </c>
      <c r="P218" s="124">
        <v>0.95</v>
      </c>
      <c r="Q218" s="125">
        <f t="shared" si="545"/>
        <v>181.31720430107526</v>
      </c>
      <c r="R218" s="125">
        <f t="shared" si="558"/>
        <v>134.9</v>
      </c>
      <c r="S218" s="124">
        <v>0.95</v>
      </c>
      <c r="T218" s="125">
        <f t="shared" si="546"/>
        <v>181.31720430107526</v>
      </c>
      <c r="U218" s="125">
        <f t="shared" si="559"/>
        <v>134.9</v>
      </c>
      <c r="X218" s="123"/>
      <c r="Y218" s="123"/>
      <c r="Z218" s="124">
        <v>0.91</v>
      </c>
      <c r="AA218" s="125">
        <f t="shared" si="576"/>
        <v>173.68279569892474</v>
      </c>
      <c r="AB218" s="125">
        <f t="shared" si="547"/>
        <v>129.22</v>
      </c>
      <c r="AC218" s="124">
        <v>0.36</v>
      </c>
      <c r="AD218" s="125">
        <f t="shared" si="577"/>
        <v>68.709677419354847</v>
      </c>
      <c r="AE218" s="125">
        <f t="shared" si="548"/>
        <v>51.12</v>
      </c>
      <c r="AF218" s="124">
        <v>0.81</v>
      </c>
      <c r="AG218" s="125">
        <f t="shared" si="578"/>
        <v>154.59677419354841</v>
      </c>
      <c r="AH218" s="125">
        <f t="shared" si="549"/>
        <v>115.02000000000001</v>
      </c>
      <c r="AI218" s="124">
        <v>0.81</v>
      </c>
      <c r="AJ218" s="125">
        <f t="shared" si="579"/>
        <v>154.59677419354841</v>
      </c>
      <c r="AK218" s="125">
        <f t="shared" si="550"/>
        <v>115.02000000000001</v>
      </c>
      <c r="AL218" s="162"/>
      <c r="AN218" s="123"/>
      <c r="AO218" s="123"/>
      <c r="AP218" s="124">
        <v>0.63</v>
      </c>
      <c r="AQ218" s="125">
        <f t="shared" si="564"/>
        <v>120.24193548387098</v>
      </c>
      <c r="AR218" s="125">
        <f t="shared" si="551"/>
        <v>89.46</v>
      </c>
      <c r="AS218" s="124">
        <v>0.31</v>
      </c>
      <c r="AT218" s="125">
        <f t="shared" si="565"/>
        <v>59.166666666666671</v>
      </c>
      <c r="AU218" s="125">
        <f t="shared" si="552"/>
        <v>44.02</v>
      </c>
      <c r="AV218" s="124">
        <v>0.56999999999999995</v>
      </c>
      <c r="AW218" s="125">
        <f t="shared" si="566"/>
        <v>108.79032258064515</v>
      </c>
      <c r="AX218" s="125">
        <f t="shared" si="553"/>
        <v>80.94</v>
      </c>
      <c r="AY218" s="124">
        <v>0.56999999999999995</v>
      </c>
      <c r="AZ218" s="125">
        <f t="shared" si="567"/>
        <v>108.79032258064515</v>
      </c>
      <c r="BA218" s="125">
        <f t="shared" si="554"/>
        <v>80.94</v>
      </c>
      <c r="BD218" s="139">
        <f t="shared" si="568"/>
        <v>159.36827956989248</v>
      </c>
      <c r="BE218" s="139">
        <f>(L218+AR218)/2</f>
        <v>118.57</v>
      </c>
      <c r="BF218" s="139">
        <f t="shared" si="570"/>
        <v>100.20161290322582</v>
      </c>
      <c r="BG218" s="139">
        <f>(O218+AU218)/2</f>
        <v>74.55</v>
      </c>
      <c r="BH218" s="139">
        <f t="shared" si="572"/>
        <v>145.05376344086022</v>
      </c>
      <c r="BI218" s="139">
        <f t="shared" si="573"/>
        <v>107.92</v>
      </c>
      <c r="BJ218" s="139">
        <f t="shared" si="574"/>
        <v>145.05376344086022</v>
      </c>
      <c r="BK218" s="139">
        <f t="shared" si="580"/>
        <v>107.92</v>
      </c>
    </row>
    <row r="219" spans="1:63" ht="14.4">
      <c r="A219" s="126" t="s">
        <v>187</v>
      </c>
      <c r="B219" s="118">
        <v>30</v>
      </c>
      <c r="C219" s="118">
        <f t="shared" si="555"/>
        <v>720</v>
      </c>
      <c r="D219" s="122">
        <f t="shared" si="542"/>
        <v>150</v>
      </c>
      <c r="E219" s="118">
        <v>108</v>
      </c>
      <c r="H219" s="123"/>
      <c r="J219" s="124">
        <v>1.18</v>
      </c>
      <c r="K219" s="125">
        <f t="shared" si="543"/>
        <v>177</v>
      </c>
      <c r="L219" s="125">
        <f t="shared" si="556"/>
        <v>127.44</v>
      </c>
      <c r="M219" s="124">
        <v>0.59</v>
      </c>
      <c r="N219" s="125">
        <f t="shared" si="544"/>
        <v>88.5</v>
      </c>
      <c r="O219" s="125">
        <f t="shared" si="557"/>
        <v>63.72</v>
      </c>
      <c r="P219" s="124">
        <v>0.96</v>
      </c>
      <c r="Q219" s="125">
        <f t="shared" si="545"/>
        <v>144</v>
      </c>
      <c r="R219" s="125">
        <f t="shared" si="558"/>
        <v>103.67999999999999</v>
      </c>
      <c r="S219" s="124">
        <v>0.96</v>
      </c>
      <c r="T219" s="125">
        <f t="shared" si="546"/>
        <v>144</v>
      </c>
      <c r="U219" s="125">
        <f t="shared" si="559"/>
        <v>103.67999999999999</v>
      </c>
      <c r="X219" s="123"/>
      <c r="Y219" s="123"/>
      <c r="Z219" s="124">
        <v>1.1299999999999999</v>
      </c>
      <c r="AA219" s="125">
        <f t="shared" si="576"/>
        <v>169.49999999999997</v>
      </c>
      <c r="AB219" s="125">
        <f t="shared" si="547"/>
        <v>122.03999999999999</v>
      </c>
      <c r="AC219" s="124">
        <v>0.32</v>
      </c>
      <c r="AD219" s="125">
        <f t="shared" si="577"/>
        <v>48</v>
      </c>
      <c r="AE219" s="125">
        <f t="shared" si="548"/>
        <v>34.56</v>
      </c>
      <c r="AF219" s="124">
        <v>0.83</v>
      </c>
      <c r="AG219" s="125">
        <f t="shared" si="578"/>
        <v>124.5</v>
      </c>
      <c r="AH219" s="125">
        <f t="shared" si="549"/>
        <v>89.64</v>
      </c>
      <c r="AI219" s="124">
        <v>0.83</v>
      </c>
      <c r="AJ219" s="125">
        <f t="shared" si="579"/>
        <v>124.5</v>
      </c>
      <c r="AK219" s="125">
        <f t="shared" si="550"/>
        <v>89.64</v>
      </c>
      <c r="AL219" s="162"/>
      <c r="AN219" s="123"/>
      <c r="AO219" s="123"/>
      <c r="AP219" s="124">
        <v>0.88</v>
      </c>
      <c r="AQ219" s="125">
        <f t="shared" si="564"/>
        <v>132</v>
      </c>
      <c r="AR219" s="125">
        <f t="shared" si="551"/>
        <v>95.04</v>
      </c>
      <c r="AS219" s="124">
        <v>0.3</v>
      </c>
      <c r="AT219" s="125">
        <f t="shared" si="565"/>
        <v>45</v>
      </c>
      <c r="AU219" s="125">
        <f t="shared" si="552"/>
        <v>32.4</v>
      </c>
      <c r="AV219" s="124">
        <v>0.61</v>
      </c>
      <c r="AW219" s="125">
        <f t="shared" si="566"/>
        <v>91.5</v>
      </c>
      <c r="AX219" s="125">
        <f t="shared" si="553"/>
        <v>65.88</v>
      </c>
      <c r="AY219" s="124">
        <v>0.61</v>
      </c>
      <c r="AZ219" s="125">
        <f t="shared" si="567"/>
        <v>91.5</v>
      </c>
      <c r="BA219" s="125">
        <f t="shared" si="554"/>
        <v>65.88</v>
      </c>
      <c r="BD219" s="139">
        <f t="shared" si="568"/>
        <v>154.5</v>
      </c>
      <c r="BE219" s="139">
        <f t="shared" ref="BE219:BE222" si="581">(L219+AR219)/2</f>
        <v>111.24000000000001</v>
      </c>
      <c r="BF219" s="139">
        <f t="shared" si="570"/>
        <v>66.75</v>
      </c>
      <c r="BG219" s="139">
        <f t="shared" ref="BG219:BG222" si="582">(O219+AU219)/2</f>
        <v>48.06</v>
      </c>
      <c r="BH219" s="139">
        <f t="shared" si="572"/>
        <v>117.75</v>
      </c>
      <c r="BI219" s="139">
        <f t="shared" si="573"/>
        <v>84.78</v>
      </c>
      <c r="BJ219" s="139">
        <f t="shared" si="574"/>
        <v>117.75</v>
      </c>
      <c r="BK219" s="139">
        <f>(U219+BA219)/2</f>
        <v>84.78</v>
      </c>
    </row>
    <row r="220" spans="1:63" ht="14.4">
      <c r="A220" s="126" t="s">
        <v>59</v>
      </c>
      <c r="B220" s="118">
        <v>31</v>
      </c>
      <c r="C220" s="118">
        <f t="shared" si="555"/>
        <v>744</v>
      </c>
      <c r="D220" s="122">
        <f t="shared" si="542"/>
        <v>87.365591397849457</v>
      </c>
      <c r="E220" s="118">
        <v>65</v>
      </c>
      <c r="H220" s="123"/>
      <c r="J220" s="124">
        <v>1.43</v>
      </c>
      <c r="K220" s="125">
        <f t="shared" si="543"/>
        <v>124.93279569892472</v>
      </c>
      <c r="L220" s="125">
        <f t="shared" si="556"/>
        <v>92.95</v>
      </c>
      <c r="M220" s="124">
        <v>0.38</v>
      </c>
      <c r="N220" s="125">
        <f t="shared" si="544"/>
        <v>33.198924731182792</v>
      </c>
      <c r="O220" s="125">
        <f t="shared" si="557"/>
        <v>24.7</v>
      </c>
      <c r="P220" s="124">
        <v>0.98</v>
      </c>
      <c r="Q220" s="125">
        <f t="shared" si="545"/>
        <v>85.618279569892465</v>
      </c>
      <c r="R220" s="125">
        <f t="shared" si="558"/>
        <v>63.699999999999996</v>
      </c>
      <c r="S220" s="124">
        <v>0.98</v>
      </c>
      <c r="T220" s="125">
        <f t="shared" si="546"/>
        <v>85.618279569892465</v>
      </c>
      <c r="U220" s="125">
        <f t="shared" si="559"/>
        <v>63.699999999999996</v>
      </c>
      <c r="X220" s="123"/>
      <c r="Y220" s="123"/>
      <c r="Z220" s="124">
        <v>1.58</v>
      </c>
      <c r="AA220" s="125">
        <f t="shared" si="576"/>
        <v>138.03763440860214</v>
      </c>
      <c r="AB220" s="125">
        <f t="shared" si="547"/>
        <v>102.7</v>
      </c>
      <c r="AC220" s="124">
        <v>0.31</v>
      </c>
      <c r="AD220" s="125">
        <f t="shared" si="577"/>
        <v>27.083333333333332</v>
      </c>
      <c r="AE220" s="125">
        <f t="shared" si="548"/>
        <v>20.149999999999999</v>
      </c>
      <c r="AF220" s="124">
        <v>0.89</v>
      </c>
      <c r="AG220" s="125">
        <f t="shared" si="578"/>
        <v>77.755376344086017</v>
      </c>
      <c r="AH220" s="125">
        <f t="shared" si="549"/>
        <v>57.85</v>
      </c>
      <c r="AI220" s="124">
        <v>0.89</v>
      </c>
      <c r="AJ220" s="125">
        <f t="shared" si="579"/>
        <v>77.755376344086017</v>
      </c>
      <c r="AK220" s="125">
        <f t="shared" si="550"/>
        <v>57.85</v>
      </c>
      <c r="AL220" s="162"/>
      <c r="AN220" s="123"/>
      <c r="AO220" s="123"/>
      <c r="AP220" s="124">
        <v>1.38</v>
      </c>
      <c r="AQ220" s="125">
        <f t="shared" si="564"/>
        <v>120.56451612903224</v>
      </c>
      <c r="AR220" s="125">
        <f t="shared" si="551"/>
        <v>89.699999999999989</v>
      </c>
      <c r="AS220" s="124">
        <v>0.31</v>
      </c>
      <c r="AT220" s="125">
        <f t="shared" si="565"/>
        <v>27.083333333333332</v>
      </c>
      <c r="AU220" s="125">
        <f t="shared" si="552"/>
        <v>20.149999999999999</v>
      </c>
      <c r="AV220" s="124">
        <v>0.7</v>
      </c>
      <c r="AW220" s="125">
        <f t="shared" si="566"/>
        <v>61.155913978494617</v>
      </c>
      <c r="AX220" s="125">
        <f t="shared" si="553"/>
        <v>45.5</v>
      </c>
      <c r="AY220" s="124">
        <v>0.7</v>
      </c>
      <c r="AZ220" s="125">
        <f t="shared" si="567"/>
        <v>61.155913978494617</v>
      </c>
      <c r="BA220" s="125">
        <f t="shared" si="554"/>
        <v>45.5</v>
      </c>
      <c r="BD220" s="139">
        <f t="shared" si="568"/>
        <v>122.74865591397848</v>
      </c>
      <c r="BE220" s="139">
        <f t="shared" si="581"/>
        <v>91.324999999999989</v>
      </c>
      <c r="BF220" s="139">
        <f t="shared" si="570"/>
        <v>30.141129032258064</v>
      </c>
      <c r="BG220" s="139">
        <f t="shared" si="582"/>
        <v>22.424999999999997</v>
      </c>
      <c r="BH220" s="139">
        <f t="shared" si="572"/>
        <v>73.387096774193537</v>
      </c>
      <c r="BI220" s="139">
        <f t="shared" si="573"/>
        <v>54.599999999999994</v>
      </c>
      <c r="BJ220" s="139">
        <f t="shared" si="574"/>
        <v>73.387096774193537</v>
      </c>
      <c r="BK220" s="139">
        <f t="shared" ref="BK220:BK222" si="583">(U220+BA220)/2</f>
        <v>54.599999999999994</v>
      </c>
    </row>
    <row r="221" spans="1:63" ht="14.4">
      <c r="A221" s="126" t="s">
        <v>60</v>
      </c>
      <c r="B221" s="118">
        <v>30</v>
      </c>
      <c r="C221" s="118">
        <f t="shared" si="555"/>
        <v>720</v>
      </c>
      <c r="D221" s="122">
        <f t="shared" si="542"/>
        <v>43.055555555555557</v>
      </c>
      <c r="E221" s="118">
        <v>31</v>
      </c>
      <c r="H221" s="123"/>
      <c r="J221" s="124">
        <v>1.65</v>
      </c>
      <c r="K221" s="125">
        <f t="shared" si="543"/>
        <v>71.041666666666671</v>
      </c>
      <c r="L221" s="125">
        <f t="shared" si="556"/>
        <v>51.15</v>
      </c>
      <c r="M221" s="124">
        <v>0.44</v>
      </c>
      <c r="N221" s="125">
        <f t="shared" si="544"/>
        <v>18.944444444444446</v>
      </c>
      <c r="O221" s="125">
        <f t="shared" si="557"/>
        <v>13.64</v>
      </c>
      <c r="P221" s="124">
        <v>1</v>
      </c>
      <c r="Q221" s="125">
        <f t="shared" si="545"/>
        <v>43.055555555555557</v>
      </c>
      <c r="R221" s="125">
        <f t="shared" si="558"/>
        <v>31</v>
      </c>
      <c r="S221" s="124">
        <v>1</v>
      </c>
      <c r="T221" s="125">
        <f t="shared" si="546"/>
        <v>43.055555555555557</v>
      </c>
      <c r="U221" s="125">
        <f t="shared" si="559"/>
        <v>31</v>
      </c>
      <c r="X221" s="123"/>
      <c r="Y221" s="123"/>
      <c r="Z221" s="124">
        <v>1.98</v>
      </c>
      <c r="AA221" s="125">
        <f t="shared" si="576"/>
        <v>85.25</v>
      </c>
      <c r="AB221" s="125">
        <f t="shared" si="547"/>
        <v>61.38</v>
      </c>
      <c r="AC221" s="124">
        <v>0.42</v>
      </c>
      <c r="AD221" s="125">
        <f t="shared" si="577"/>
        <v>18.083333333333332</v>
      </c>
      <c r="AE221" s="125">
        <f t="shared" si="548"/>
        <v>13.02</v>
      </c>
      <c r="AF221" s="124">
        <v>0.93</v>
      </c>
      <c r="AG221" s="125">
        <f t="shared" si="578"/>
        <v>40.041666666666671</v>
      </c>
      <c r="AH221" s="125">
        <f t="shared" si="549"/>
        <v>28.830000000000002</v>
      </c>
      <c r="AI221" s="124">
        <v>0.93</v>
      </c>
      <c r="AJ221" s="125">
        <f t="shared" si="579"/>
        <v>40.041666666666671</v>
      </c>
      <c r="AK221" s="125">
        <f t="shared" si="550"/>
        <v>28.830000000000002</v>
      </c>
      <c r="AL221" s="162"/>
      <c r="AN221" s="123"/>
      <c r="AO221" s="123"/>
      <c r="AP221" s="124">
        <v>1.9</v>
      </c>
      <c r="AQ221" s="125">
        <f t="shared" si="564"/>
        <v>81.805555555555557</v>
      </c>
      <c r="AR221" s="125">
        <f t="shared" si="551"/>
        <v>58.9</v>
      </c>
      <c r="AS221" s="124">
        <v>0.43</v>
      </c>
      <c r="AT221" s="125">
        <f t="shared" si="565"/>
        <v>18.513888888888889</v>
      </c>
      <c r="AU221" s="125">
        <f t="shared" si="552"/>
        <v>13.33</v>
      </c>
      <c r="AV221" s="124">
        <v>0.78</v>
      </c>
      <c r="AW221" s="125">
        <f t="shared" si="566"/>
        <v>33.583333333333336</v>
      </c>
      <c r="AX221" s="125">
        <f t="shared" si="553"/>
        <v>24.18</v>
      </c>
      <c r="AY221" s="124">
        <v>0.78</v>
      </c>
      <c r="AZ221" s="125">
        <f t="shared" si="567"/>
        <v>33.583333333333336</v>
      </c>
      <c r="BA221" s="125">
        <f t="shared" si="554"/>
        <v>24.18</v>
      </c>
      <c r="BD221" s="139">
        <f t="shared" si="568"/>
        <v>76.423611111111114</v>
      </c>
      <c r="BE221" s="139">
        <f t="shared" si="581"/>
        <v>55.024999999999999</v>
      </c>
      <c r="BF221" s="139">
        <f t="shared" si="570"/>
        <v>18.729166666666668</v>
      </c>
      <c r="BG221" s="139">
        <f t="shared" si="582"/>
        <v>13.484999999999999</v>
      </c>
      <c r="BH221" s="139">
        <f t="shared" si="572"/>
        <v>38.319444444444443</v>
      </c>
      <c r="BI221" s="139">
        <f t="shared" si="573"/>
        <v>27.59</v>
      </c>
      <c r="BJ221" s="139">
        <f t="shared" si="574"/>
        <v>38.319444444444443</v>
      </c>
      <c r="BK221" s="139">
        <f t="shared" si="583"/>
        <v>27.59</v>
      </c>
    </row>
    <row r="222" spans="1:63" ht="15" thickBot="1">
      <c r="A222" s="127" t="s">
        <v>61</v>
      </c>
      <c r="B222" s="118">
        <v>31</v>
      </c>
      <c r="C222" s="118">
        <f t="shared" si="555"/>
        <v>744</v>
      </c>
      <c r="D222" s="122">
        <f t="shared" si="542"/>
        <v>29.56989247311828</v>
      </c>
      <c r="E222" s="118">
        <v>22</v>
      </c>
      <c r="H222" s="123"/>
      <c r="J222" s="124">
        <v>1.85</v>
      </c>
      <c r="K222" s="125">
        <f t="shared" si="543"/>
        <v>54.704301075268823</v>
      </c>
      <c r="L222" s="125">
        <f t="shared" si="556"/>
        <v>40.700000000000003</v>
      </c>
      <c r="M222" s="124">
        <v>0.49</v>
      </c>
      <c r="N222" s="125">
        <f t="shared" si="544"/>
        <v>14.489247311827956</v>
      </c>
      <c r="O222" s="125">
        <f t="shared" si="557"/>
        <v>10.78</v>
      </c>
      <c r="P222" s="124">
        <v>1.01</v>
      </c>
      <c r="Q222" s="125">
        <f t="shared" si="545"/>
        <v>29.865591397849464</v>
      </c>
      <c r="R222" s="125">
        <f t="shared" si="558"/>
        <v>22.22</v>
      </c>
      <c r="S222" s="124">
        <v>1.01</v>
      </c>
      <c r="T222" s="125">
        <f t="shared" si="546"/>
        <v>29.865591397849464</v>
      </c>
      <c r="U222" s="125">
        <f t="shared" si="559"/>
        <v>22.22</v>
      </c>
      <c r="X222" s="123"/>
      <c r="Y222" s="123"/>
      <c r="Z222" s="124">
        <v>2.3199999999999998</v>
      </c>
      <c r="AA222" s="125">
        <f t="shared" si="576"/>
        <v>68.602150537634401</v>
      </c>
      <c r="AB222" s="125">
        <f t="shared" si="547"/>
        <v>51.04</v>
      </c>
      <c r="AC222" s="124">
        <v>0.51</v>
      </c>
      <c r="AD222" s="125">
        <f t="shared" si="577"/>
        <v>15.080645161290324</v>
      </c>
      <c r="AE222" s="125">
        <f t="shared" si="548"/>
        <v>11.22</v>
      </c>
      <c r="AF222" s="124">
        <v>1</v>
      </c>
      <c r="AG222" s="125">
        <f t="shared" si="578"/>
        <v>29.56989247311828</v>
      </c>
      <c r="AH222" s="125">
        <f t="shared" si="549"/>
        <v>22</v>
      </c>
      <c r="AI222" s="124">
        <v>1</v>
      </c>
      <c r="AJ222" s="125">
        <f t="shared" si="579"/>
        <v>29.56989247311828</v>
      </c>
      <c r="AK222" s="125">
        <f t="shared" si="550"/>
        <v>22</v>
      </c>
      <c r="AL222" s="162"/>
      <c r="AN222" s="123"/>
      <c r="AO222" s="123"/>
      <c r="AP222" s="124">
        <v>2.35</v>
      </c>
      <c r="AQ222" s="125">
        <f t="shared" si="564"/>
        <v>69.489247311827967</v>
      </c>
      <c r="AR222" s="125">
        <f t="shared" si="551"/>
        <v>51.7</v>
      </c>
      <c r="AS222" s="124">
        <v>0.56999999999999995</v>
      </c>
      <c r="AT222" s="125">
        <f t="shared" si="565"/>
        <v>16.854838709677416</v>
      </c>
      <c r="AU222" s="125">
        <f t="shared" si="552"/>
        <v>12.54</v>
      </c>
      <c r="AV222" s="124">
        <v>0.92</v>
      </c>
      <c r="AW222" s="125">
        <f t="shared" si="566"/>
        <v>27.20430107526882</v>
      </c>
      <c r="AX222" s="125">
        <f t="shared" si="553"/>
        <v>20.240000000000002</v>
      </c>
      <c r="AY222" s="124">
        <v>0.92</v>
      </c>
      <c r="AZ222" s="125">
        <f t="shared" si="567"/>
        <v>27.20430107526882</v>
      </c>
      <c r="BA222" s="125">
        <f t="shared" si="554"/>
        <v>20.240000000000002</v>
      </c>
      <c r="BD222" s="139">
        <f t="shared" si="568"/>
        <v>62.096774193548399</v>
      </c>
      <c r="BE222" s="139">
        <f t="shared" si="581"/>
        <v>46.2</v>
      </c>
      <c r="BF222" s="139">
        <f t="shared" si="570"/>
        <v>15.672043010752686</v>
      </c>
      <c r="BG222" s="139">
        <f t="shared" si="582"/>
        <v>11.66</v>
      </c>
      <c r="BH222" s="139">
        <f t="shared" si="572"/>
        <v>28.534946236559144</v>
      </c>
      <c r="BI222" s="139">
        <f t="shared" si="573"/>
        <v>21.23</v>
      </c>
      <c r="BJ222" s="139">
        <f t="shared" si="574"/>
        <v>28.534946236559144</v>
      </c>
      <c r="BK222" s="139">
        <f t="shared" si="583"/>
        <v>21.23</v>
      </c>
    </row>
    <row r="224" spans="1:63">
      <c r="A224" s="128" t="s">
        <v>201</v>
      </c>
      <c r="B224" s="120" t="s">
        <v>172</v>
      </c>
      <c r="C224" s="120" t="s">
        <v>173</v>
      </c>
      <c r="E224" s="120" t="s">
        <v>174</v>
      </c>
      <c r="F224" s="120"/>
      <c r="G224" s="120"/>
      <c r="J224" s="305" t="s">
        <v>177</v>
      </c>
      <c r="K224" s="306"/>
      <c r="L224" s="307"/>
      <c r="M224" s="305" t="s">
        <v>178</v>
      </c>
      <c r="N224" s="306"/>
      <c r="O224" s="307"/>
      <c r="P224" s="305" t="s">
        <v>179</v>
      </c>
      <c r="Q224" s="306"/>
      <c r="R224" s="306"/>
      <c r="S224" s="308" t="s">
        <v>180</v>
      </c>
      <c r="T224" s="308"/>
      <c r="U224" s="308"/>
      <c r="Z224" s="305" t="s">
        <v>177</v>
      </c>
      <c r="AA224" s="306"/>
      <c r="AB224" s="307"/>
      <c r="AC224" s="305" t="s">
        <v>178</v>
      </c>
      <c r="AD224" s="306"/>
      <c r="AE224" s="307"/>
      <c r="AF224" s="305" t="s">
        <v>179</v>
      </c>
      <c r="AG224" s="306"/>
      <c r="AH224" s="306"/>
      <c r="AI224" s="308" t="s">
        <v>180</v>
      </c>
      <c r="AJ224" s="308"/>
      <c r="AK224" s="308"/>
      <c r="AL224" s="128"/>
      <c r="AP224" s="305" t="s">
        <v>177</v>
      </c>
      <c r="AQ224" s="306"/>
      <c r="AR224" s="307"/>
      <c r="AS224" s="305" t="s">
        <v>178</v>
      </c>
      <c r="AT224" s="306"/>
      <c r="AU224" s="307"/>
      <c r="AV224" s="305" t="s">
        <v>179</v>
      </c>
      <c r="AW224" s="306"/>
      <c r="AX224" s="306"/>
      <c r="AY224" s="308" t="s">
        <v>180</v>
      </c>
      <c r="AZ224" s="308"/>
      <c r="BA224" s="308"/>
      <c r="BD224" s="310" t="s">
        <v>177</v>
      </c>
      <c r="BE224" s="311"/>
      <c r="BF224" s="310" t="s">
        <v>178</v>
      </c>
      <c r="BG224" s="311"/>
      <c r="BH224" s="310" t="s">
        <v>181</v>
      </c>
      <c r="BI224" s="311"/>
      <c r="BJ224" s="308" t="s">
        <v>180</v>
      </c>
      <c r="BK224" s="308"/>
    </row>
    <row r="225" spans="1:63" ht="13.8" thickBot="1">
      <c r="D225" s="118" t="s">
        <v>176</v>
      </c>
      <c r="E225" s="118" t="s">
        <v>175</v>
      </c>
      <c r="J225" s="117" t="s">
        <v>205</v>
      </c>
      <c r="K225" s="117" t="s">
        <v>176</v>
      </c>
      <c r="L225" s="117" t="s">
        <v>175</v>
      </c>
      <c r="M225" s="117" t="s">
        <v>205</v>
      </c>
      <c r="N225" s="117" t="s">
        <v>176</v>
      </c>
      <c r="O225" s="117" t="s">
        <v>175</v>
      </c>
      <c r="P225" s="117" t="s">
        <v>205</v>
      </c>
      <c r="Q225" s="117" t="s">
        <v>176</v>
      </c>
      <c r="R225" s="117" t="s">
        <v>175</v>
      </c>
      <c r="S225" s="137" t="s">
        <v>205</v>
      </c>
      <c r="T225" s="137" t="s">
        <v>176</v>
      </c>
      <c r="U225" s="137" t="s">
        <v>175</v>
      </c>
      <c r="Z225" s="117" t="s">
        <v>205</v>
      </c>
      <c r="AA225" s="117" t="s">
        <v>176</v>
      </c>
      <c r="AB225" s="117" t="s">
        <v>175</v>
      </c>
      <c r="AC225" s="117" t="s">
        <v>205</v>
      </c>
      <c r="AD225" s="117" t="s">
        <v>176</v>
      </c>
      <c r="AE225" s="117" t="s">
        <v>175</v>
      </c>
      <c r="AF225" s="117" t="s">
        <v>205</v>
      </c>
      <c r="AG225" s="117" t="s">
        <v>176</v>
      </c>
      <c r="AH225" s="117" t="s">
        <v>175</v>
      </c>
      <c r="AI225" s="137" t="s">
        <v>205</v>
      </c>
      <c r="AJ225" s="137" t="s">
        <v>176</v>
      </c>
      <c r="AK225" s="137" t="s">
        <v>175</v>
      </c>
      <c r="AP225" s="117" t="s">
        <v>205</v>
      </c>
      <c r="AQ225" s="117" t="s">
        <v>176</v>
      </c>
      <c r="AR225" s="117" t="s">
        <v>175</v>
      </c>
      <c r="AS225" s="117" t="s">
        <v>205</v>
      </c>
      <c r="AT225" s="117" t="s">
        <v>176</v>
      </c>
      <c r="AU225" s="117" t="s">
        <v>175</v>
      </c>
      <c r="AV225" s="117" t="s">
        <v>205</v>
      </c>
      <c r="AW225" s="117" t="s">
        <v>176</v>
      </c>
      <c r="AX225" s="117" t="s">
        <v>175</v>
      </c>
      <c r="AY225" s="137" t="s">
        <v>205</v>
      </c>
      <c r="AZ225" s="137" t="s">
        <v>176</v>
      </c>
      <c r="BA225" s="137" t="s">
        <v>175</v>
      </c>
      <c r="BD225" s="137" t="s">
        <v>176</v>
      </c>
      <c r="BE225" s="137" t="s">
        <v>175</v>
      </c>
      <c r="BF225" s="137" t="s">
        <v>176</v>
      </c>
      <c r="BG225" s="137" t="s">
        <v>175</v>
      </c>
      <c r="BH225" s="137" t="s">
        <v>176</v>
      </c>
      <c r="BI225" s="137" t="s">
        <v>175</v>
      </c>
      <c r="BJ225" s="137" t="s">
        <v>176</v>
      </c>
      <c r="BK225" s="137" t="s">
        <v>175</v>
      </c>
    </row>
    <row r="226" spans="1:63" ht="14.4">
      <c r="A226" s="121" t="s">
        <v>55</v>
      </c>
      <c r="B226" s="118">
        <v>31</v>
      </c>
      <c r="C226" s="118">
        <f>B226*24</f>
        <v>744</v>
      </c>
      <c r="D226" s="122">
        <f t="shared" ref="D226:D237" si="584">E226*1000/C226</f>
        <v>43.01075268817204</v>
      </c>
      <c r="E226" s="118">
        <v>32</v>
      </c>
      <c r="H226" s="123"/>
      <c r="J226" s="124">
        <v>1.75</v>
      </c>
      <c r="K226" s="125">
        <f t="shared" ref="K226:K237" si="585">J226*D226</f>
        <v>75.268817204301072</v>
      </c>
      <c r="L226" s="125">
        <f>$E226*J226</f>
        <v>56</v>
      </c>
      <c r="M226" s="124">
        <v>0.47</v>
      </c>
      <c r="N226" s="125">
        <f t="shared" ref="N226:N237" si="586">M226*D226</f>
        <v>20.215053763440856</v>
      </c>
      <c r="O226" s="125">
        <f>$E226*M226</f>
        <v>15.04</v>
      </c>
      <c r="P226" s="124">
        <v>1.02</v>
      </c>
      <c r="Q226" s="125">
        <f t="shared" ref="Q226:Q237" si="587">P226*D226</f>
        <v>43.87096774193548</v>
      </c>
      <c r="R226" s="125">
        <f>$E226*P226</f>
        <v>32.64</v>
      </c>
      <c r="S226" s="124">
        <v>1.02</v>
      </c>
      <c r="T226" s="125">
        <f t="shared" ref="T226:T237" si="588">S226*D226</f>
        <v>43.87096774193548</v>
      </c>
      <c r="U226" s="125">
        <f>$E226*S226</f>
        <v>32.64</v>
      </c>
      <c r="X226" s="123"/>
      <c r="Y226" s="123"/>
      <c r="Z226" s="124">
        <v>2.2000000000000002</v>
      </c>
      <c r="AA226" s="125">
        <f>Z226*$D226</f>
        <v>94.623655913978496</v>
      </c>
      <c r="AB226" s="125">
        <f t="shared" ref="AB226:AB237" si="589">$E226*Z226</f>
        <v>70.400000000000006</v>
      </c>
      <c r="AC226" s="124">
        <v>0.5</v>
      </c>
      <c r="AD226" s="125">
        <f>AC226*$D226</f>
        <v>21.50537634408602</v>
      </c>
      <c r="AE226" s="125">
        <f t="shared" ref="AE226:AE237" si="590">$E226*AC226</f>
        <v>16</v>
      </c>
      <c r="AF226" s="124">
        <v>1.01</v>
      </c>
      <c r="AG226" s="125">
        <f>AF226*$D226</f>
        <v>43.44086021505376</v>
      </c>
      <c r="AH226" s="125">
        <f t="shared" ref="AH226:AH237" si="591">$E226*AF226</f>
        <v>32.32</v>
      </c>
      <c r="AI226" s="124">
        <v>1.01</v>
      </c>
      <c r="AJ226" s="125">
        <f>AI226*$D226</f>
        <v>43.44086021505376</v>
      </c>
      <c r="AK226" s="125">
        <f t="shared" ref="AK226:AK237" si="592">$E226*AI226</f>
        <v>32.32</v>
      </c>
      <c r="AL226" s="162"/>
      <c r="AN226" s="123"/>
      <c r="AO226" s="123"/>
      <c r="AP226" s="124">
        <v>2.2200000000000002</v>
      </c>
      <c r="AQ226" s="125">
        <f>AP226*$D226</f>
        <v>95.483870967741936</v>
      </c>
      <c r="AR226" s="125">
        <f t="shared" ref="AR226:AR237" si="593">$E226*AP226</f>
        <v>71.040000000000006</v>
      </c>
      <c r="AS226" s="124">
        <v>0.57999999999999996</v>
      </c>
      <c r="AT226" s="125">
        <f>AS226*$D226</f>
        <v>24.946236559139781</v>
      </c>
      <c r="AU226" s="125">
        <f t="shared" ref="AU226:AU237" si="594">$E226*AS226</f>
        <v>18.559999999999999</v>
      </c>
      <c r="AV226" s="124">
        <v>0.94</v>
      </c>
      <c r="AW226" s="125">
        <f>AV226*$D226</f>
        <v>40.430107526881713</v>
      </c>
      <c r="AX226" s="125">
        <f t="shared" ref="AX226:AX237" si="595">$E226*AV226</f>
        <v>30.08</v>
      </c>
      <c r="AY226" s="124">
        <v>0.94</v>
      </c>
      <c r="AZ226" s="125">
        <f>AY226*$D226</f>
        <v>40.430107526881713</v>
      </c>
      <c r="BA226" s="125">
        <f t="shared" ref="BA226:BA237" si="596">$E226*AY226</f>
        <v>30.08</v>
      </c>
      <c r="BD226" s="139">
        <f>(K226+AQ226)/2</f>
        <v>85.376344086021504</v>
      </c>
      <c r="BE226" s="139">
        <f>(L226+AR226)/2</f>
        <v>63.52</v>
      </c>
      <c r="BF226" s="139">
        <f>(N226+AT226)/2</f>
        <v>22.58064516129032</v>
      </c>
      <c r="BG226" s="139">
        <f>(O226+AU226)/2</f>
        <v>16.799999999999997</v>
      </c>
      <c r="BH226" s="139">
        <f>(Q226+AW226)/2</f>
        <v>42.150537634408593</v>
      </c>
      <c r="BI226" s="139">
        <f>(R226+AX226)/2</f>
        <v>31.36</v>
      </c>
      <c r="BJ226" s="139">
        <f>(T226+AZ226)/2</f>
        <v>42.150537634408593</v>
      </c>
      <c r="BK226" s="139">
        <f>(U226+BA226)/2</f>
        <v>31.36</v>
      </c>
    </row>
    <row r="227" spans="1:63" ht="14.4">
      <c r="A227" s="126" t="s">
        <v>56</v>
      </c>
      <c r="B227" s="118">
        <v>28</v>
      </c>
      <c r="C227" s="118">
        <f t="shared" ref="C227:C237" si="597">B227*24</f>
        <v>672</v>
      </c>
      <c r="D227" s="122">
        <f t="shared" si="584"/>
        <v>86.30952380952381</v>
      </c>
      <c r="E227" s="118">
        <v>58</v>
      </c>
      <c r="H227" s="123"/>
      <c r="J227" s="124">
        <v>1.51</v>
      </c>
      <c r="K227" s="125">
        <f t="shared" si="585"/>
        <v>130.32738095238096</v>
      </c>
      <c r="L227" s="125">
        <f t="shared" ref="L227:L237" si="598">$E227*J227</f>
        <v>87.58</v>
      </c>
      <c r="M227" s="124">
        <v>0.46</v>
      </c>
      <c r="N227" s="125">
        <f t="shared" si="586"/>
        <v>39.702380952380956</v>
      </c>
      <c r="O227" s="125">
        <f t="shared" ref="O227:O237" si="599">$E227*M227</f>
        <v>26.68</v>
      </c>
      <c r="P227" s="124">
        <v>1.01</v>
      </c>
      <c r="Q227" s="125">
        <f t="shared" si="587"/>
        <v>87.172619047619051</v>
      </c>
      <c r="R227" s="125">
        <f t="shared" ref="R227:R237" si="600">$E227*P227</f>
        <v>58.58</v>
      </c>
      <c r="S227" s="124">
        <v>1.01</v>
      </c>
      <c r="T227" s="125">
        <f t="shared" si="588"/>
        <v>87.172619047619051</v>
      </c>
      <c r="U227" s="125">
        <f t="shared" ref="U227:U237" si="601">$E227*S227</f>
        <v>58.58</v>
      </c>
      <c r="X227" s="123"/>
      <c r="Y227" s="123"/>
      <c r="Z227" s="124">
        <v>1.76</v>
      </c>
      <c r="AA227" s="125">
        <f t="shared" ref="AA227:AA228" si="602">Z227*$D227</f>
        <v>151.9047619047619</v>
      </c>
      <c r="AB227" s="125">
        <f t="shared" si="589"/>
        <v>102.08</v>
      </c>
      <c r="AC227" s="124">
        <v>0.48</v>
      </c>
      <c r="AD227" s="125">
        <f t="shared" ref="AD227:AD228" si="603">AC227*$D227</f>
        <v>41.428571428571431</v>
      </c>
      <c r="AE227" s="125">
        <f t="shared" si="590"/>
        <v>27.84</v>
      </c>
      <c r="AF227" s="124">
        <v>1</v>
      </c>
      <c r="AG227" s="125">
        <f t="shared" ref="AG227:AG228" si="604">AF227*$D227</f>
        <v>86.30952380952381</v>
      </c>
      <c r="AH227" s="125">
        <f t="shared" si="591"/>
        <v>58</v>
      </c>
      <c r="AI227" s="124">
        <v>1</v>
      </c>
      <c r="AJ227" s="125">
        <f t="shared" ref="AJ227:AJ228" si="605">AI227*$D227</f>
        <v>86.30952380952381</v>
      </c>
      <c r="AK227" s="125">
        <f t="shared" si="592"/>
        <v>58</v>
      </c>
      <c r="AL227" s="162"/>
      <c r="AN227" s="123"/>
      <c r="AO227" s="123"/>
      <c r="AP227" s="124">
        <v>1.72</v>
      </c>
      <c r="AQ227" s="125">
        <f t="shared" ref="AQ227:AQ237" si="606">AP227*$D227</f>
        <v>148.45238095238096</v>
      </c>
      <c r="AR227" s="125">
        <f t="shared" si="593"/>
        <v>99.76</v>
      </c>
      <c r="AS227" s="124">
        <v>0.56999999999999995</v>
      </c>
      <c r="AT227" s="125">
        <f t="shared" ref="AT227:AT237" si="607">AS227*$D227</f>
        <v>49.196428571428569</v>
      </c>
      <c r="AU227" s="125">
        <f t="shared" si="594"/>
        <v>33.059999999999995</v>
      </c>
      <c r="AV227" s="124">
        <v>0.94</v>
      </c>
      <c r="AW227" s="125">
        <f t="shared" ref="AW227:AW237" si="608">AV227*$D227</f>
        <v>81.13095238095238</v>
      </c>
      <c r="AX227" s="125">
        <f t="shared" si="595"/>
        <v>54.519999999999996</v>
      </c>
      <c r="AY227" s="124">
        <v>0.94</v>
      </c>
      <c r="AZ227" s="125">
        <f t="shared" ref="AZ227:AZ237" si="609">AY227*$D227</f>
        <v>81.13095238095238</v>
      </c>
      <c r="BA227" s="125">
        <f t="shared" si="596"/>
        <v>54.519999999999996</v>
      </c>
      <c r="BD227" s="139">
        <f t="shared" ref="BD227:BD237" si="610">(K227+AQ227)/2</f>
        <v>139.38988095238096</v>
      </c>
      <c r="BE227" s="139">
        <f t="shared" ref="BE227:BE232" si="611">(L227+AR227)/2</f>
        <v>93.67</v>
      </c>
      <c r="BF227" s="139">
        <f t="shared" ref="BF227:BF237" si="612">(N227+AT227)/2</f>
        <v>44.449404761904759</v>
      </c>
      <c r="BG227" s="139">
        <f t="shared" ref="BG227:BG232" si="613">(O227+AU227)/2</f>
        <v>29.869999999999997</v>
      </c>
      <c r="BH227" s="139">
        <f t="shared" ref="BH227:BH237" si="614">(Q227+AW227)/2</f>
        <v>84.151785714285722</v>
      </c>
      <c r="BI227" s="139">
        <f t="shared" ref="BI227:BI237" si="615">(R227+AX227)/2</f>
        <v>56.55</v>
      </c>
      <c r="BJ227" s="139">
        <f t="shared" ref="BJ227:BJ237" si="616">(T227+AZ227)/2</f>
        <v>84.151785714285722</v>
      </c>
      <c r="BK227" s="139">
        <f t="shared" ref="BK227:BK230" si="617">(U227+BA227)/2</f>
        <v>56.55</v>
      </c>
    </row>
    <row r="228" spans="1:63" ht="14.4">
      <c r="A228" s="126" t="s">
        <v>57</v>
      </c>
      <c r="B228" s="118">
        <v>31</v>
      </c>
      <c r="C228" s="118">
        <f t="shared" si="597"/>
        <v>744</v>
      </c>
      <c r="D228" s="122">
        <f t="shared" si="584"/>
        <v>129.03225806451613</v>
      </c>
      <c r="E228" s="118">
        <v>96</v>
      </c>
      <c r="H228" s="123"/>
      <c r="J228" s="124">
        <v>1.26</v>
      </c>
      <c r="K228" s="125">
        <f t="shared" si="585"/>
        <v>162.58064516129033</v>
      </c>
      <c r="L228" s="125">
        <f t="shared" si="598"/>
        <v>120.96000000000001</v>
      </c>
      <c r="M228" s="124">
        <v>0.56000000000000005</v>
      </c>
      <c r="N228" s="125">
        <f t="shared" si="586"/>
        <v>72.258064516129039</v>
      </c>
      <c r="O228" s="125">
        <f t="shared" si="599"/>
        <v>53.760000000000005</v>
      </c>
      <c r="P228" s="124">
        <v>1</v>
      </c>
      <c r="Q228" s="125">
        <f t="shared" si="587"/>
        <v>129.03225806451613</v>
      </c>
      <c r="R228" s="125">
        <f t="shared" si="600"/>
        <v>96</v>
      </c>
      <c r="S228" s="124">
        <v>1</v>
      </c>
      <c r="T228" s="125">
        <f t="shared" si="588"/>
        <v>129.03225806451613</v>
      </c>
      <c r="U228" s="125">
        <f t="shared" si="601"/>
        <v>96</v>
      </c>
      <c r="X228" s="123"/>
      <c r="Y228" s="123"/>
      <c r="Z228" s="124">
        <v>1.35</v>
      </c>
      <c r="AA228" s="125">
        <f t="shared" si="602"/>
        <v>174.1935483870968</v>
      </c>
      <c r="AB228" s="125">
        <f t="shared" si="589"/>
        <v>129.60000000000002</v>
      </c>
      <c r="AC228" s="124">
        <v>0.46</v>
      </c>
      <c r="AD228" s="125">
        <f t="shared" si="603"/>
        <v>59.354838709677423</v>
      </c>
      <c r="AE228" s="125">
        <f t="shared" si="590"/>
        <v>44.160000000000004</v>
      </c>
      <c r="AF228" s="124">
        <v>0.95</v>
      </c>
      <c r="AG228" s="125">
        <f t="shared" si="604"/>
        <v>122.58064516129032</v>
      </c>
      <c r="AH228" s="125">
        <f t="shared" si="591"/>
        <v>91.199999999999989</v>
      </c>
      <c r="AI228" s="124">
        <v>0.95</v>
      </c>
      <c r="AJ228" s="125">
        <f t="shared" si="605"/>
        <v>122.58064516129032</v>
      </c>
      <c r="AK228" s="125">
        <f t="shared" si="592"/>
        <v>91.199999999999989</v>
      </c>
      <c r="AL228" s="162"/>
      <c r="AN228" s="123"/>
      <c r="AO228" s="123"/>
      <c r="AP228" s="124">
        <v>1.22</v>
      </c>
      <c r="AQ228" s="125">
        <f t="shared" si="606"/>
        <v>157.41935483870967</v>
      </c>
      <c r="AR228" s="125">
        <f t="shared" si="593"/>
        <v>117.12</v>
      </c>
      <c r="AS228" s="124">
        <v>0.53</v>
      </c>
      <c r="AT228" s="125">
        <f t="shared" si="607"/>
        <v>68.387096774193552</v>
      </c>
      <c r="AU228" s="125">
        <f t="shared" si="594"/>
        <v>50.88</v>
      </c>
      <c r="AV228" s="124">
        <v>0.86</v>
      </c>
      <c r="AW228" s="125">
        <f t="shared" si="608"/>
        <v>110.96774193548387</v>
      </c>
      <c r="AX228" s="125">
        <f t="shared" si="595"/>
        <v>82.56</v>
      </c>
      <c r="AY228" s="124">
        <v>0.86</v>
      </c>
      <c r="AZ228" s="125">
        <f t="shared" si="609"/>
        <v>110.96774193548387</v>
      </c>
      <c r="BA228" s="125">
        <f t="shared" si="596"/>
        <v>82.56</v>
      </c>
      <c r="BD228" s="139">
        <f t="shared" si="610"/>
        <v>160</v>
      </c>
      <c r="BE228" s="139">
        <f t="shared" si="611"/>
        <v>119.04</v>
      </c>
      <c r="BF228" s="139">
        <f t="shared" si="612"/>
        <v>70.322580645161295</v>
      </c>
      <c r="BG228" s="139">
        <f t="shared" si="613"/>
        <v>52.320000000000007</v>
      </c>
      <c r="BH228" s="139">
        <f t="shared" si="614"/>
        <v>120</v>
      </c>
      <c r="BI228" s="139">
        <f t="shared" si="615"/>
        <v>89.28</v>
      </c>
      <c r="BJ228" s="139">
        <f t="shared" si="616"/>
        <v>120</v>
      </c>
      <c r="BK228" s="139">
        <f t="shared" si="617"/>
        <v>89.28</v>
      </c>
    </row>
    <row r="229" spans="1:63" ht="14.4">
      <c r="A229" s="126" t="s">
        <v>58</v>
      </c>
      <c r="B229" s="118">
        <v>30</v>
      </c>
      <c r="C229" s="118">
        <f t="shared" si="597"/>
        <v>720</v>
      </c>
      <c r="D229" s="122">
        <f t="shared" si="584"/>
        <v>184.72222222222223</v>
      </c>
      <c r="E229" s="118">
        <v>133</v>
      </c>
      <c r="H229" s="123"/>
      <c r="J229" s="124">
        <v>1.1000000000000001</v>
      </c>
      <c r="K229" s="125">
        <f t="shared" si="585"/>
        <v>203.19444444444446</v>
      </c>
      <c r="L229" s="125">
        <f t="shared" si="598"/>
        <v>146.30000000000001</v>
      </c>
      <c r="M229" s="124">
        <v>0.71</v>
      </c>
      <c r="N229" s="125">
        <f t="shared" si="586"/>
        <v>131.15277777777777</v>
      </c>
      <c r="O229" s="125">
        <f t="shared" si="599"/>
        <v>94.429999999999993</v>
      </c>
      <c r="P229" s="124">
        <v>0.97</v>
      </c>
      <c r="Q229" s="125">
        <f t="shared" si="587"/>
        <v>179.18055555555554</v>
      </c>
      <c r="R229" s="125">
        <f t="shared" si="600"/>
        <v>129.01</v>
      </c>
      <c r="S229" s="124">
        <v>0.97</v>
      </c>
      <c r="T229" s="125">
        <f t="shared" si="588"/>
        <v>179.18055555555554</v>
      </c>
      <c r="U229" s="125">
        <f t="shared" si="601"/>
        <v>129.01</v>
      </c>
      <c r="X229" s="123"/>
      <c r="Y229" s="123"/>
      <c r="Z229" s="124">
        <v>1.04</v>
      </c>
      <c r="AA229" s="125">
        <f>Z229*$D229</f>
        <v>192.11111111111111</v>
      </c>
      <c r="AB229" s="125">
        <f t="shared" si="589"/>
        <v>138.32</v>
      </c>
      <c r="AC229" s="124">
        <v>0.42</v>
      </c>
      <c r="AD229" s="125">
        <f>AC229*$D229</f>
        <v>77.583333333333329</v>
      </c>
      <c r="AE229" s="125">
        <f t="shared" si="590"/>
        <v>55.86</v>
      </c>
      <c r="AF229" s="124">
        <v>0.87</v>
      </c>
      <c r="AG229" s="125">
        <f>AF229*$D229</f>
        <v>160.70833333333334</v>
      </c>
      <c r="AH229" s="125">
        <f t="shared" si="591"/>
        <v>115.71</v>
      </c>
      <c r="AI229" s="124">
        <v>0.87</v>
      </c>
      <c r="AJ229" s="125">
        <f>AI229*$D229</f>
        <v>160.70833333333334</v>
      </c>
      <c r="AK229" s="125">
        <f t="shared" si="592"/>
        <v>115.71</v>
      </c>
      <c r="AL229" s="162"/>
      <c r="AN229" s="123"/>
      <c r="AO229" s="123"/>
      <c r="AP229" s="124">
        <v>0.82</v>
      </c>
      <c r="AQ229" s="125">
        <f>AP229*$D229</f>
        <v>151.47222222222223</v>
      </c>
      <c r="AR229" s="125">
        <f t="shared" si="593"/>
        <v>109.05999999999999</v>
      </c>
      <c r="AS229" s="124">
        <v>0.41</v>
      </c>
      <c r="AT229" s="125">
        <f>AS229*$D229</f>
        <v>75.736111111111114</v>
      </c>
      <c r="AU229" s="125">
        <f t="shared" si="594"/>
        <v>54.529999999999994</v>
      </c>
      <c r="AV229" s="124">
        <v>0.69</v>
      </c>
      <c r="AW229" s="125">
        <f>AV229*$D229</f>
        <v>127.45833333333333</v>
      </c>
      <c r="AX229" s="125">
        <f t="shared" si="595"/>
        <v>91.77</v>
      </c>
      <c r="AY229" s="124">
        <v>0.69</v>
      </c>
      <c r="AZ229" s="125">
        <f>AY229*$D229</f>
        <v>127.45833333333333</v>
      </c>
      <c r="BA229" s="125">
        <f t="shared" si="596"/>
        <v>91.77</v>
      </c>
      <c r="BD229" s="139">
        <f t="shared" si="610"/>
        <v>177.33333333333334</v>
      </c>
      <c r="BE229" s="139">
        <f t="shared" si="611"/>
        <v>127.68</v>
      </c>
      <c r="BF229" s="139">
        <f t="shared" si="612"/>
        <v>103.44444444444444</v>
      </c>
      <c r="BG229" s="139">
        <f t="shared" si="613"/>
        <v>74.47999999999999</v>
      </c>
      <c r="BH229" s="139">
        <f t="shared" si="614"/>
        <v>153.31944444444443</v>
      </c>
      <c r="BI229" s="139">
        <f t="shared" si="615"/>
        <v>110.38999999999999</v>
      </c>
      <c r="BJ229" s="139">
        <f t="shared" si="616"/>
        <v>153.31944444444443</v>
      </c>
      <c r="BK229" s="139">
        <f t="shared" si="617"/>
        <v>110.38999999999999</v>
      </c>
    </row>
    <row r="230" spans="1:63" ht="14.4">
      <c r="A230" s="126" t="s">
        <v>183</v>
      </c>
      <c r="B230" s="118">
        <v>31</v>
      </c>
      <c r="C230" s="118">
        <f t="shared" si="597"/>
        <v>744</v>
      </c>
      <c r="D230" s="122">
        <f t="shared" si="584"/>
        <v>231.18279569892474</v>
      </c>
      <c r="E230" s="118">
        <v>172</v>
      </c>
      <c r="H230" s="123"/>
      <c r="J230" s="124">
        <v>1.01</v>
      </c>
      <c r="K230" s="125">
        <f t="shared" si="585"/>
        <v>233.49462365591398</v>
      </c>
      <c r="L230" s="125">
        <f t="shared" si="598"/>
        <v>173.72</v>
      </c>
      <c r="M230" s="124">
        <v>0.81</v>
      </c>
      <c r="N230" s="125">
        <f t="shared" si="586"/>
        <v>187.25806451612905</v>
      </c>
      <c r="O230" s="125">
        <f t="shared" si="599"/>
        <v>139.32000000000002</v>
      </c>
      <c r="P230" s="124">
        <v>0.96</v>
      </c>
      <c r="Q230" s="125">
        <f t="shared" si="587"/>
        <v>221.93548387096774</v>
      </c>
      <c r="R230" s="125">
        <f t="shared" si="600"/>
        <v>165.12</v>
      </c>
      <c r="S230" s="124">
        <v>0.96</v>
      </c>
      <c r="T230" s="125">
        <f t="shared" si="588"/>
        <v>221.93548387096774</v>
      </c>
      <c r="U230" s="125">
        <f t="shared" si="601"/>
        <v>165.12</v>
      </c>
      <c r="X230" s="123"/>
      <c r="Y230" s="123"/>
      <c r="Z230" s="124">
        <v>0.87</v>
      </c>
      <c r="AA230" s="125">
        <f t="shared" ref="AA230:AA237" si="618">Z230*$D230</f>
        <v>201.12903225806451</v>
      </c>
      <c r="AB230" s="125">
        <f t="shared" si="589"/>
        <v>149.63999999999999</v>
      </c>
      <c r="AC230" s="124">
        <v>0.44</v>
      </c>
      <c r="AD230" s="125">
        <f t="shared" ref="AD230:AD237" si="619">AC230*$D230</f>
        <v>101.72043010752688</v>
      </c>
      <c r="AE230" s="125">
        <f t="shared" si="590"/>
        <v>75.680000000000007</v>
      </c>
      <c r="AF230" s="124">
        <v>0.82</v>
      </c>
      <c r="AG230" s="125">
        <f t="shared" ref="AG230:AG237" si="620">AF230*$D230</f>
        <v>189.56989247311827</v>
      </c>
      <c r="AH230" s="125">
        <f t="shared" si="591"/>
        <v>141.04</v>
      </c>
      <c r="AI230" s="124">
        <v>0.82</v>
      </c>
      <c r="AJ230" s="125">
        <f t="shared" ref="AJ230:AJ237" si="621">AI230*$D230</f>
        <v>189.56989247311827</v>
      </c>
      <c r="AK230" s="125">
        <f t="shared" si="592"/>
        <v>141.04</v>
      </c>
      <c r="AL230" s="162"/>
      <c r="AN230" s="123"/>
      <c r="AO230" s="123"/>
      <c r="AP230" s="124">
        <v>0.6</v>
      </c>
      <c r="AQ230" s="125">
        <f t="shared" si="606"/>
        <v>138.70967741935485</v>
      </c>
      <c r="AR230" s="125">
        <f t="shared" si="593"/>
        <v>103.2</v>
      </c>
      <c r="AS230" s="124">
        <v>0.37</v>
      </c>
      <c r="AT230" s="125">
        <f t="shared" si="607"/>
        <v>85.537634408602145</v>
      </c>
      <c r="AU230" s="125">
        <f t="shared" si="594"/>
        <v>63.64</v>
      </c>
      <c r="AV230" s="124">
        <v>0.6</v>
      </c>
      <c r="AW230" s="125">
        <f t="shared" si="608"/>
        <v>138.70967741935485</v>
      </c>
      <c r="AX230" s="125">
        <f t="shared" si="595"/>
        <v>103.2</v>
      </c>
      <c r="AY230" s="124">
        <v>0.6</v>
      </c>
      <c r="AZ230" s="125">
        <f t="shared" si="609"/>
        <v>138.70967741935485</v>
      </c>
      <c r="BA230" s="125">
        <f t="shared" si="596"/>
        <v>103.2</v>
      </c>
      <c r="BD230" s="139">
        <f t="shared" si="610"/>
        <v>186.10215053763443</v>
      </c>
      <c r="BE230" s="139">
        <f t="shared" si="611"/>
        <v>138.46</v>
      </c>
      <c r="BF230" s="139">
        <f t="shared" si="612"/>
        <v>136.3978494623656</v>
      </c>
      <c r="BG230" s="139">
        <f t="shared" si="613"/>
        <v>101.48000000000002</v>
      </c>
      <c r="BH230" s="139">
        <f t="shared" si="614"/>
        <v>180.32258064516128</v>
      </c>
      <c r="BI230" s="139">
        <f t="shared" si="615"/>
        <v>134.16</v>
      </c>
      <c r="BJ230" s="139">
        <f t="shared" si="616"/>
        <v>180.32258064516128</v>
      </c>
      <c r="BK230" s="139">
        <f t="shared" si="617"/>
        <v>134.16</v>
      </c>
    </row>
    <row r="231" spans="1:63" ht="14.4">
      <c r="A231" s="126" t="s">
        <v>184</v>
      </c>
      <c r="B231" s="118">
        <v>30</v>
      </c>
      <c r="C231" s="118">
        <f t="shared" si="597"/>
        <v>720</v>
      </c>
      <c r="D231" s="122">
        <f t="shared" si="584"/>
        <v>238.88888888888889</v>
      </c>
      <c r="E231" s="118">
        <v>172</v>
      </c>
      <c r="H231" s="123"/>
      <c r="I231" s="117" t="s">
        <v>197</v>
      </c>
      <c r="J231" s="124">
        <v>0.97</v>
      </c>
      <c r="K231" s="125">
        <f t="shared" si="585"/>
        <v>231.7222222222222</v>
      </c>
      <c r="L231" s="125">
        <f t="shared" si="598"/>
        <v>166.84</v>
      </c>
      <c r="M231" s="124">
        <v>0.83</v>
      </c>
      <c r="N231" s="125">
        <f t="shared" si="586"/>
        <v>198.27777777777777</v>
      </c>
      <c r="O231" s="125">
        <f t="shared" si="599"/>
        <v>142.76</v>
      </c>
      <c r="P231" s="124">
        <v>0.95</v>
      </c>
      <c r="Q231" s="125">
        <f t="shared" si="587"/>
        <v>226.94444444444443</v>
      </c>
      <c r="R231" s="125">
        <f t="shared" si="600"/>
        <v>163.4</v>
      </c>
      <c r="S231" s="124">
        <v>0.95</v>
      </c>
      <c r="T231" s="125">
        <f t="shared" si="588"/>
        <v>226.94444444444443</v>
      </c>
      <c r="U231" s="125">
        <f t="shared" si="601"/>
        <v>163.4</v>
      </c>
      <c r="W231" s="117" t="s">
        <v>197</v>
      </c>
      <c r="X231" s="123"/>
      <c r="Y231" s="123"/>
      <c r="Z231" s="124">
        <v>0.79</v>
      </c>
      <c r="AA231" s="125">
        <f t="shared" si="618"/>
        <v>188.72222222222223</v>
      </c>
      <c r="AB231" s="125">
        <f t="shared" si="589"/>
        <v>135.88</v>
      </c>
      <c r="AC231" s="124">
        <v>0.47</v>
      </c>
      <c r="AD231" s="125">
        <f t="shared" si="619"/>
        <v>112.27777777777777</v>
      </c>
      <c r="AE231" s="125">
        <f t="shared" si="590"/>
        <v>80.839999999999989</v>
      </c>
      <c r="AF231" s="124">
        <v>0.79</v>
      </c>
      <c r="AG231" s="125">
        <f t="shared" si="620"/>
        <v>188.72222222222223</v>
      </c>
      <c r="AH231" s="125">
        <f t="shared" si="591"/>
        <v>135.88</v>
      </c>
      <c r="AI231" s="124">
        <v>0.79</v>
      </c>
      <c r="AJ231" s="125">
        <f t="shared" si="621"/>
        <v>188.72222222222223</v>
      </c>
      <c r="AK231" s="125">
        <f t="shared" si="592"/>
        <v>135.88</v>
      </c>
      <c r="AL231" s="162"/>
      <c r="AM231" s="117" t="s">
        <v>197</v>
      </c>
      <c r="AN231" s="123"/>
      <c r="AO231" s="123"/>
      <c r="AP231" s="124">
        <v>0.52</v>
      </c>
      <c r="AQ231" s="125">
        <f t="shared" si="606"/>
        <v>124.22222222222223</v>
      </c>
      <c r="AR231" s="125">
        <f t="shared" si="593"/>
        <v>89.44</v>
      </c>
      <c r="AS231" s="124">
        <v>0.35</v>
      </c>
      <c r="AT231" s="125">
        <f t="shared" si="607"/>
        <v>83.6111111111111</v>
      </c>
      <c r="AU231" s="125">
        <f t="shared" si="594"/>
        <v>60.199999999999996</v>
      </c>
      <c r="AV231" s="124">
        <v>0.56000000000000005</v>
      </c>
      <c r="AW231" s="125">
        <f t="shared" si="608"/>
        <v>133.7777777777778</v>
      </c>
      <c r="AX231" s="125">
        <f t="shared" si="595"/>
        <v>96.320000000000007</v>
      </c>
      <c r="AY231" s="124">
        <v>0.56000000000000005</v>
      </c>
      <c r="AZ231" s="125">
        <f t="shared" si="609"/>
        <v>133.7777777777778</v>
      </c>
      <c r="BA231" s="125">
        <f t="shared" si="596"/>
        <v>96.320000000000007</v>
      </c>
      <c r="BC231" s="117" t="s">
        <v>197</v>
      </c>
      <c r="BD231" s="139">
        <f t="shared" si="610"/>
        <v>177.97222222222223</v>
      </c>
      <c r="BE231" s="139">
        <f t="shared" si="611"/>
        <v>128.13999999999999</v>
      </c>
      <c r="BF231" s="139">
        <f t="shared" si="612"/>
        <v>140.94444444444443</v>
      </c>
      <c r="BG231" s="139">
        <f t="shared" si="613"/>
        <v>101.47999999999999</v>
      </c>
      <c r="BH231" s="139">
        <f t="shared" si="614"/>
        <v>180.36111111111111</v>
      </c>
      <c r="BI231" s="139">
        <f t="shared" si="615"/>
        <v>129.86000000000001</v>
      </c>
      <c r="BJ231" s="139">
        <f t="shared" si="616"/>
        <v>180.36111111111111</v>
      </c>
      <c r="BK231" s="139">
        <f>(U231+BA231)/2</f>
        <v>129.86000000000001</v>
      </c>
    </row>
    <row r="232" spans="1:63" ht="14.4">
      <c r="A232" s="126" t="s">
        <v>185</v>
      </c>
      <c r="B232" s="118">
        <v>31</v>
      </c>
      <c r="C232" s="118">
        <f t="shared" si="597"/>
        <v>744</v>
      </c>
      <c r="D232" s="122">
        <f t="shared" si="584"/>
        <v>227.15053763440861</v>
      </c>
      <c r="E232" s="118">
        <v>169</v>
      </c>
      <c r="H232" s="123"/>
      <c r="I232" s="117" t="s">
        <v>247</v>
      </c>
      <c r="J232" s="124">
        <v>0.99</v>
      </c>
      <c r="K232" s="125">
        <f t="shared" si="585"/>
        <v>224.87903225806451</v>
      </c>
      <c r="L232" s="125">
        <f t="shared" si="598"/>
        <v>167.31</v>
      </c>
      <c r="M232" s="124">
        <v>0.82</v>
      </c>
      <c r="N232" s="125">
        <f t="shared" si="586"/>
        <v>186.26344086021504</v>
      </c>
      <c r="O232" s="125">
        <f t="shared" si="599"/>
        <v>138.57999999999998</v>
      </c>
      <c r="P232" s="124">
        <v>0.95</v>
      </c>
      <c r="Q232" s="125">
        <f t="shared" si="587"/>
        <v>215.79301075268816</v>
      </c>
      <c r="R232" s="125">
        <f t="shared" si="600"/>
        <v>160.54999999999998</v>
      </c>
      <c r="S232" s="124">
        <v>0.95</v>
      </c>
      <c r="T232" s="125">
        <f t="shared" si="588"/>
        <v>215.79301075268816</v>
      </c>
      <c r="U232" s="125">
        <f t="shared" si="601"/>
        <v>160.54999999999998</v>
      </c>
      <c r="W232" s="117" t="s">
        <v>247</v>
      </c>
      <c r="X232" s="123"/>
      <c r="Y232" s="123"/>
      <c r="Z232" s="124">
        <v>0.81</v>
      </c>
      <c r="AA232" s="125">
        <f t="shared" si="618"/>
        <v>183.99193548387098</v>
      </c>
      <c r="AB232" s="125">
        <f t="shared" si="589"/>
        <v>136.89000000000001</v>
      </c>
      <c r="AC232" s="124">
        <v>0.44</v>
      </c>
      <c r="AD232" s="125">
        <f t="shared" si="619"/>
        <v>99.946236559139791</v>
      </c>
      <c r="AE232" s="125">
        <f t="shared" si="590"/>
        <v>74.36</v>
      </c>
      <c r="AF232" s="124">
        <v>0.79</v>
      </c>
      <c r="AG232" s="125">
        <f t="shared" si="620"/>
        <v>179.44892473118281</v>
      </c>
      <c r="AH232" s="125">
        <f t="shared" si="591"/>
        <v>133.51000000000002</v>
      </c>
      <c r="AI232" s="124">
        <v>0.79</v>
      </c>
      <c r="AJ232" s="125">
        <f t="shared" si="621"/>
        <v>179.44892473118281</v>
      </c>
      <c r="AK232" s="125">
        <f t="shared" si="592"/>
        <v>133.51000000000002</v>
      </c>
      <c r="AL232" s="162"/>
      <c r="AM232" s="117" t="s">
        <v>247</v>
      </c>
      <c r="AN232" s="123"/>
      <c r="AO232" s="123"/>
      <c r="AP232" s="124">
        <v>0.53</v>
      </c>
      <c r="AQ232" s="125">
        <f t="shared" si="606"/>
        <v>120.38978494623657</v>
      </c>
      <c r="AR232" s="125">
        <f t="shared" si="593"/>
        <v>89.570000000000007</v>
      </c>
      <c r="AS232" s="124">
        <v>0.34</v>
      </c>
      <c r="AT232" s="125">
        <f t="shared" si="607"/>
        <v>77.231182795698928</v>
      </c>
      <c r="AU232" s="125">
        <f t="shared" si="594"/>
        <v>57.46</v>
      </c>
      <c r="AV232" s="124">
        <v>0.55000000000000004</v>
      </c>
      <c r="AW232" s="125">
        <f t="shared" si="608"/>
        <v>124.93279569892475</v>
      </c>
      <c r="AX232" s="125">
        <f t="shared" si="595"/>
        <v>92.95</v>
      </c>
      <c r="AY232" s="124">
        <v>0.55000000000000004</v>
      </c>
      <c r="AZ232" s="125">
        <f t="shared" si="609"/>
        <v>124.93279569892475</v>
      </c>
      <c r="BA232" s="125">
        <f t="shared" si="596"/>
        <v>92.95</v>
      </c>
      <c r="BC232" s="117" t="s">
        <v>247</v>
      </c>
      <c r="BD232" s="139">
        <f t="shared" si="610"/>
        <v>172.63440860215053</v>
      </c>
      <c r="BE232" s="139">
        <f t="shared" si="611"/>
        <v>128.44</v>
      </c>
      <c r="BF232" s="139">
        <f t="shared" si="612"/>
        <v>131.74731182795699</v>
      </c>
      <c r="BG232" s="139">
        <f t="shared" si="613"/>
        <v>98.02</v>
      </c>
      <c r="BH232" s="139">
        <f t="shared" si="614"/>
        <v>170.36290322580646</v>
      </c>
      <c r="BI232" s="139">
        <f t="shared" si="615"/>
        <v>126.75</v>
      </c>
      <c r="BJ232" s="139">
        <f t="shared" si="616"/>
        <v>170.36290322580646</v>
      </c>
      <c r="BK232" s="139">
        <f t="shared" ref="BK232:BK233" si="622">(U232+BA232)/2</f>
        <v>126.75</v>
      </c>
    </row>
    <row r="233" spans="1:63" ht="14.4">
      <c r="A233" s="126" t="s">
        <v>186</v>
      </c>
      <c r="B233" s="118">
        <v>31</v>
      </c>
      <c r="C233" s="118">
        <f t="shared" si="597"/>
        <v>744</v>
      </c>
      <c r="D233" s="122">
        <f t="shared" si="584"/>
        <v>200.26881720430109</v>
      </c>
      <c r="E233" s="118">
        <v>149</v>
      </c>
      <c r="H233" s="123"/>
      <c r="J233" s="124">
        <v>1.04</v>
      </c>
      <c r="K233" s="125">
        <f t="shared" si="585"/>
        <v>208.27956989247315</v>
      </c>
      <c r="L233" s="125">
        <f t="shared" si="598"/>
        <v>154.96</v>
      </c>
      <c r="M233" s="124">
        <v>0.74</v>
      </c>
      <c r="N233" s="125">
        <f t="shared" si="586"/>
        <v>148.19892473118281</v>
      </c>
      <c r="O233" s="125">
        <f t="shared" si="599"/>
        <v>110.26</v>
      </c>
      <c r="P233" s="124">
        <v>0.95</v>
      </c>
      <c r="Q233" s="125">
        <f t="shared" si="587"/>
        <v>190.25537634408602</v>
      </c>
      <c r="R233" s="125">
        <f t="shared" si="600"/>
        <v>141.54999999999998</v>
      </c>
      <c r="S233" s="124">
        <v>0.95</v>
      </c>
      <c r="T233" s="125">
        <f t="shared" si="588"/>
        <v>190.25537634408602</v>
      </c>
      <c r="U233" s="125">
        <f t="shared" si="601"/>
        <v>141.54999999999998</v>
      </c>
      <c r="X233" s="123"/>
      <c r="Y233" s="123"/>
      <c r="Z233" s="124">
        <v>0.91</v>
      </c>
      <c r="AA233" s="125">
        <f t="shared" si="618"/>
        <v>182.24462365591398</v>
      </c>
      <c r="AB233" s="125">
        <f t="shared" si="589"/>
        <v>135.59</v>
      </c>
      <c r="AC233" s="124">
        <v>0.36</v>
      </c>
      <c r="AD233" s="125">
        <f t="shared" si="619"/>
        <v>72.096774193548384</v>
      </c>
      <c r="AE233" s="125">
        <f t="shared" si="590"/>
        <v>53.64</v>
      </c>
      <c r="AF233" s="124">
        <v>0.81</v>
      </c>
      <c r="AG233" s="125">
        <f t="shared" si="620"/>
        <v>162.2177419354839</v>
      </c>
      <c r="AH233" s="125">
        <f t="shared" si="591"/>
        <v>120.69000000000001</v>
      </c>
      <c r="AI233" s="124">
        <v>0.81</v>
      </c>
      <c r="AJ233" s="125">
        <f t="shared" si="621"/>
        <v>162.2177419354839</v>
      </c>
      <c r="AK233" s="125">
        <f t="shared" si="592"/>
        <v>120.69000000000001</v>
      </c>
      <c r="AL233" s="162"/>
      <c r="AN233" s="123"/>
      <c r="AO233" s="123"/>
      <c r="AP233" s="124">
        <v>0.63</v>
      </c>
      <c r="AQ233" s="125">
        <f t="shared" si="606"/>
        <v>126.16935483870968</v>
      </c>
      <c r="AR233" s="125">
        <f t="shared" si="593"/>
        <v>93.87</v>
      </c>
      <c r="AS233" s="124">
        <v>0.31</v>
      </c>
      <c r="AT233" s="125">
        <f t="shared" si="607"/>
        <v>62.083333333333336</v>
      </c>
      <c r="AU233" s="125">
        <f t="shared" si="594"/>
        <v>46.19</v>
      </c>
      <c r="AV233" s="124">
        <v>0.56999999999999995</v>
      </c>
      <c r="AW233" s="125">
        <f t="shared" si="608"/>
        <v>114.15322580645162</v>
      </c>
      <c r="AX233" s="125">
        <f t="shared" si="595"/>
        <v>84.929999999999993</v>
      </c>
      <c r="AY233" s="124">
        <v>0.56999999999999995</v>
      </c>
      <c r="AZ233" s="125">
        <f t="shared" si="609"/>
        <v>114.15322580645162</v>
      </c>
      <c r="BA233" s="125">
        <f t="shared" si="596"/>
        <v>84.929999999999993</v>
      </c>
      <c r="BD233" s="139">
        <f t="shared" si="610"/>
        <v>167.22446236559142</v>
      </c>
      <c r="BE233" s="139">
        <f>(L233+AR233)/2</f>
        <v>124.41500000000001</v>
      </c>
      <c r="BF233" s="139">
        <f t="shared" si="612"/>
        <v>105.14112903225808</v>
      </c>
      <c r="BG233" s="139">
        <f>(O233+AU233)/2</f>
        <v>78.224999999999994</v>
      </c>
      <c r="BH233" s="139">
        <f t="shared" si="614"/>
        <v>152.2043010752688</v>
      </c>
      <c r="BI233" s="139">
        <f t="shared" si="615"/>
        <v>113.23999999999998</v>
      </c>
      <c r="BJ233" s="139">
        <f t="shared" si="616"/>
        <v>152.2043010752688</v>
      </c>
      <c r="BK233" s="139">
        <f t="shared" si="622"/>
        <v>113.23999999999998</v>
      </c>
    </row>
    <row r="234" spans="1:63" ht="14.4">
      <c r="A234" s="126" t="s">
        <v>187</v>
      </c>
      <c r="B234" s="118">
        <v>30</v>
      </c>
      <c r="C234" s="118">
        <f t="shared" si="597"/>
        <v>720</v>
      </c>
      <c r="D234" s="122">
        <f t="shared" si="584"/>
        <v>158.33333333333334</v>
      </c>
      <c r="E234" s="118">
        <v>114</v>
      </c>
      <c r="H234" s="123"/>
      <c r="J234" s="124">
        <v>1.18</v>
      </c>
      <c r="K234" s="125">
        <f t="shared" si="585"/>
        <v>186.83333333333334</v>
      </c>
      <c r="L234" s="125">
        <f t="shared" si="598"/>
        <v>134.51999999999998</v>
      </c>
      <c r="M234" s="124">
        <v>0.59</v>
      </c>
      <c r="N234" s="125">
        <f t="shared" si="586"/>
        <v>93.416666666666671</v>
      </c>
      <c r="O234" s="125">
        <f t="shared" si="599"/>
        <v>67.259999999999991</v>
      </c>
      <c r="P234" s="124">
        <v>0.96</v>
      </c>
      <c r="Q234" s="125">
        <f t="shared" si="587"/>
        <v>152</v>
      </c>
      <c r="R234" s="125">
        <f t="shared" si="600"/>
        <v>109.44</v>
      </c>
      <c r="S234" s="124">
        <v>0.96</v>
      </c>
      <c r="T234" s="125">
        <f t="shared" si="588"/>
        <v>152</v>
      </c>
      <c r="U234" s="125">
        <f t="shared" si="601"/>
        <v>109.44</v>
      </c>
      <c r="X234" s="123"/>
      <c r="Y234" s="123"/>
      <c r="Z234" s="124">
        <v>1.1299999999999999</v>
      </c>
      <c r="AA234" s="125">
        <f t="shared" si="618"/>
        <v>178.91666666666666</v>
      </c>
      <c r="AB234" s="125">
        <f t="shared" si="589"/>
        <v>128.82</v>
      </c>
      <c r="AC234" s="124">
        <v>0.32</v>
      </c>
      <c r="AD234" s="125">
        <f t="shared" si="619"/>
        <v>50.666666666666671</v>
      </c>
      <c r="AE234" s="125">
        <f t="shared" si="590"/>
        <v>36.480000000000004</v>
      </c>
      <c r="AF234" s="124">
        <v>0.83</v>
      </c>
      <c r="AG234" s="125">
        <f t="shared" si="620"/>
        <v>131.41666666666666</v>
      </c>
      <c r="AH234" s="125">
        <f t="shared" si="591"/>
        <v>94.61999999999999</v>
      </c>
      <c r="AI234" s="124">
        <v>0.83</v>
      </c>
      <c r="AJ234" s="125">
        <f t="shared" si="621"/>
        <v>131.41666666666666</v>
      </c>
      <c r="AK234" s="125">
        <f t="shared" si="592"/>
        <v>94.61999999999999</v>
      </c>
      <c r="AL234" s="162"/>
      <c r="AN234" s="123"/>
      <c r="AO234" s="123"/>
      <c r="AP234" s="124">
        <v>0.88</v>
      </c>
      <c r="AQ234" s="125">
        <f t="shared" si="606"/>
        <v>139.33333333333334</v>
      </c>
      <c r="AR234" s="125">
        <f t="shared" si="593"/>
        <v>100.32000000000001</v>
      </c>
      <c r="AS234" s="124">
        <v>0.3</v>
      </c>
      <c r="AT234" s="125">
        <f t="shared" si="607"/>
        <v>47.5</v>
      </c>
      <c r="AU234" s="125">
        <f t="shared" si="594"/>
        <v>34.199999999999996</v>
      </c>
      <c r="AV234" s="124">
        <v>0.61</v>
      </c>
      <c r="AW234" s="125">
        <f t="shared" si="608"/>
        <v>96.583333333333343</v>
      </c>
      <c r="AX234" s="125">
        <f t="shared" si="595"/>
        <v>69.539999999999992</v>
      </c>
      <c r="AY234" s="124">
        <v>0.61</v>
      </c>
      <c r="AZ234" s="125">
        <f t="shared" si="609"/>
        <v>96.583333333333343</v>
      </c>
      <c r="BA234" s="125">
        <f t="shared" si="596"/>
        <v>69.539999999999992</v>
      </c>
      <c r="BD234" s="139">
        <f t="shared" si="610"/>
        <v>163.08333333333334</v>
      </c>
      <c r="BE234" s="139">
        <f t="shared" ref="BE234:BE237" si="623">(L234+AR234)/2</f>
        <v>117.41999999999999</v>
      </c>
      <c r="BF234" s="139">
        <f t="shared" si="612"/>
        <v>70.458333333333343</v>
      </c>
      <c r="BG234" s="139">
        <f t="shared" ref="BG234:BG237" si="624">(O234+AU234)/2</f>
        <v>50.72999999999999</v>
      </c>
      <c r="BH234" s="139">
        <f t="shared" si="614"/>
        <v>124.29166666666667</v>
      </c>
      <c r="BI234" s="139">
        <f t="shared" si="615"/>
        <v>89.49</v>
      </c>
      <c r="BJ234" s="139">
        <f t="shared" si="616"/>
        <v>124.29166666666667</v>
      </c>
      <c r="BK234" s="139">
        <f>(U234+BA234)/2</f>
        <v>89.49</v>
      </c>
    </row>
    <row r="235" spans="1:63" ht="14.4">
      <c r="A235" s="126" t="s">
        <v>59</v>
      </c>
      <c r="B235" s="118">
        <v>31</v>
      </c>
      <c r="C235" s="118">
        <f t="shared" si="597"/>
        <v>744</v>
      </c>
      <c r="D235" s="122">
        <f t="shared" si="584"/>
        <v>94.086021505376351</v>
      </c>
      <c r="E235" s="118">
        <v>70</v>
      </c>
      <c r="H235" s="123"/>
      <c r="J235" s="124">
        <v>1.43</v>
      </c>
      <c r="K235" s="125">
        <f t="shared" si="585"/>
        <v>134.54301075268819</v>
      </c>
      <c r="L235" s="125">
        <f t="shared" si="598"/>
        <v>100.1</v>
      </c>
      <c r="M235" s="124">
        <v>0.38</v>
      </c>
      <c r="N235" s="125">
        <f t="shared" si="586"/>
        <v>35.752688172043015</v>
      </c>
      <c r="O235" s="125">
        <f t="shared" si="599"/>
        <v>26.6</v>
      </c>
      <c r="P235" s="124">
        <v>0.98</v>
      </c>
      <c r="Q235" s="125">
        <f t="shared" si="587"/>
        <v>92.204301075268816</v>
      </c>
      <c r="R235" s="125">
        <f t="shared" si="600"/>
        <v>68.599999999999994</v>
      </c>
      <c r="S235" s="124">
        <v>0.98</v>
      </c>
      <c r="T235" s="125">
        <f t="shared" si="588"/>
        <v>92.204301075268816</v>
      </c>
      <c r="U235" s="125">
        <f t="shared" si="601"/>
        <v>68.599999999999994</v>
      </c>
      <c r="X235" s="123"/>
      <c r="Y235" s="123"/>
      <c r="Z235" s="124">
        <v>1.58</v>
      </c>
      <c r="AA235" s="125">
        <f t="shared" si="618"/>
        <v>148.65591397849465</v>
      </c>
      <c r="AB235" s="125">
        <f t="shared" si="589"/>
        <v>110.60000000000001</v>
      </c>
      <c r="AC235" s="124">
        <v>0.31</v>
      </c>
      <c r="AD235" s="125">
        <f t="shared" si="619"/>
        <v>29.166666666666668</v>
      </c>
      <c r="AE235" s="125">
        <f t="shared" si="590"/>
        <v>21.7</v>
      </c>
      <c r="AF235" s="124">
        <v>0.89</v>
      </c>
      <c r="AG235" s="125">
        <f t="shared" si="620"/>
        <v>83.736559139784958</v>
      </c>
      <c r="AH235" s="125">
        <f t="shared" si="591"/>
        <v>62.300000000000004</v>
      </c>
      <c r="AI235" s="124">
        <v>0.89</v>
      </c>
      <c r="AJ235" s="125">
        <f t="shared" si="621"/>
        <v>83.736559139784958</v>
      </c>
      <c r="AK235" s="125">
        <f t="shared" si="592"/>
        <v>62.300000000000004</v>
      </c>
      <c r="AL235" s="162"/>
      <c r="AN235" s="123"/>
      <c r="AO235" s="123"/>
      <c r="AP235" s="124">
        <v>1.38</v>
      </c>
      <c r="AQ235" s="125">
        <f t="shared" si="606"/>
        <v>129.83870967741936</v>
      </c>
      <c r="AR235" s="125">
        <f t="shared" si="593"/>
        <v>96.6</v>
      </c>
      <c r="AS235" s="124">
        <v>0.31</v>
      </c>
      <c r="AT235" s="125">
        <f t="shared" si="607"/>
        <v>29.166666666666668</v>
      </c>
      <c r="AU235" s="125">
        <f t="shared" si="594"/>
        <v>21.7</v>
      </c>
      <c r="AV235" s="124">
        <v>0.7</v>
      </c>
      <c r="AW235" s="125">
        <f t="shared" si="608"/>
        <v>65.86021505376344</v>
      </c>
      <c r="AX235" s="125">
        <f t="shared" si="595"/>
        <v>49</v>
      </c>
      <c r="AY235" s="124">
        <v>0.7</v>
      </c>
      <c r="AZ235" s="125">
        <f t="shared" si="609"/>
        <v>65.86021505376344</v>
      </c>
      <c r="BA235" s="125">
        <f t="shared" si="596"/>
        <v>49</v>
      </c>
      <c r="BD235" s="139">
        <f t="shared" si="610"/>
        <v>132.19086021505376</v>
      </c>
      <c r="BE235" s="139">
        <f t="shared" si="623"/>
        <v>98.35</v>
      </c>
      <c r="BF235" s="139">
        <f t="shared" si="612"/>
        <v>32.45967741935484</v>
      </c>
      <c r="BG235" s="139">
        <f t="shared" si="624"/>
        <v>24.15</v>
      </c>
      <c r="BH235" s="139">
        <f t="shared" si="614"/>
        <v>79.032258064516128</v>
      </c>
      <c r="BI235" s="139">
        <f t="shared" si="615"/>
        <v>58.8</v>
      </c>
      <c r="BJ235" s="139">
        <f t="shared" si="616"/>
        <v>79.032258064516128</v>
      </c>
      <c r="BK235" s="139">
        <f t="shared" ref="BK235:BK237" si="625">(U235+BA235)/2</f>
        <v>58.8</v>
      </c>
    </row>
    <row r="236" spans="1:63" ht="14.4">
      <c r="A236" s="126" t="s">
        <v>60</v>
      </c>
      <c r="B236" s="118">
        <v>30</v>
      </c>
      <c r="C236" s="118">
        <f t="shared" si="597"/>
        <v>720</v>
      </c>
      <c r="D236" s="122">
        <f t="shared" si="584"/>
        <v>47.222222222222221</v>
      </c>
      <c r="E236" s="118">
        <v>34</v>
      </c>
      <c r="H236" s="123"/>
      <c r="J236" s="124">
        <v>1.65</v>
      </c>
      <c r="K236" s="125">
        <f t="shared" si="585"/>
        <v>77.916666666666657</v>
      </c>
      <c r="L236" s="125">
        <f t="shared" si="598"/>
        <v>56.099999999999994</v>
      </c>
      <c r="M236" s="124">
        <v>0.44</v>
      </c>
      <c r="N236" s="125">
        <f t="shared" si="586"/>
        <v>20.777777777777779</v>
      </c>
      <c r="O236" s="125">
        <f t="shared" si="599"/>
        <v>14.96</v>
      </c>
      <c r="P236" s="124">
        <v>1</v>
      </c>
      <c r="Q236" s="125">
        <f t="shared" si="587"/>
        <v>47.222222222222221</v>
      </c>
      <c r="R236" s="125">
        <f t="shared" si="600"/>
        <v>34</v>
      </c>
      <c r="S236" s="124">
        <v>1</v>
      </c>
      <c r="T236" s="125">
        <f t="shared" si="588"/>
        <v>47.222222222222221</v>
      </c>
      <c r="U236" s="125">
        <f t="shared" si="601"/>
        <v>34</v>
      </c>
      <c r="X236" s="123"/>
      <c r="Y236" s="123"/>
      <c r="Z236" s="124">
        <v>1.98</v>
      </c>
      <c r="AA236" s="125">
        <f t="shared" si="618"/>
        <v>93.5</v>
      </c>
      <c r="AB236" s="125">
        <f t="shared" si="589"/>
        <v>67.319999999999993</v>
      </c>
      <c r="AC236" s="124">
        <v>0.42</v>
      </c>
      <c r="AD236" s="125">
        <f t="shared" si="619"/>
        <v>19.833333333333332</v>
      </c>
      <c r="AE236" s="125">
        <f t="shared" si="590"/>
        <v>14.28</v>
      </c>
      <c r="AF236" s="124">
        <v>0.93</v>
      </c>
      <c r="AG236" s="125">
        <f t="shared" si="620"/>
        <v>43.916666666666671</v>
      </c>
      <c r="AH236" s="125">
        <f t="shared" si="591"/>
        <v>31.62</v>
      </c>
      <c r="AI236" s="124">
        <v>0.93</v>
      </c>
      <c r="AJ236" s="125">
        <f t="shared" si="621"/>
        <v>43.916666666666671</v>
      </c>
      <c r="AK236" s="125">
        <f t="shared" si="592"/>
        <v>31.62</v>
      </c>
      <c r="AL236" s="162"/>
      <c r="AN236" s="123"/>
      <c r="AO236" s="123"/>
      <c r="AP236" s="124">
        <v>1.9</v>
      </c>
      <c r="AQ236" s="125">
        <f t="shared" si="606"/>
        <v>89.722222222222214</v>
      </c>
      <c r="AR236" s="125">
        <f t="shared" si="593"/>
        <v>64.599999999999994</v>
      </c>
      <c r="AS236" s="124">
        <v>0.43</v>
      </c>
      <c r="AT236" s="125">
        <f t="shared" si="607"/>
        <v>20.305555555555554</v>
      </c>
      <c r="AU236" s="125">
        <f t="shared" si="594"/>
        <v>14.62</v>
      </c>
      <c r="AV236" s="124">
        <v>0.78</v>
      </c>
      <c r="AW236" s="125">
        <f t="shared" si="608"/>
        <v>36.833333333333336</v>
      </c>
      <c r="AX236" s="125">
        <f t="shared" si="595"/>
        <v>26.52</v>
      </c>
      <c r="AY236" s="124">
        <v>0.78</v>
      </c>
      <c r="AZ236" s="125">
        <f t="shared" si="609"/>
        <v>36.833333333333336</v>
      </c>
      <c r="BA236" s="125">
        <f t="shared" si="596"/>
        <v>26.52</v>
      </c>
      <c r="BD236" s="139">
        <f t="shared" si="610"/>
        <v>83.819444444444429</v>
      </c>
      <c r="BE236" s="139">
        <f t="shared" si="623"/>
        <v>60.349999999999994</v>
      </c>
      <c r="BF236" s="139">
        <f t="shared" si="612"/>
        <v>20.541666666666664</v>
      </c>
      <c r="BG236" s="139">
        <f t="shared" si="624"/>
        <v>14.79</v>
      </c>
      <c r="BH236" s="139">
        <f t="shared" si="614"/>
        <v>42.027777777777779</v>
      </c>
      <c r="BI236" s="139">
        <f t="shared" si="615"/>
        <v>30.259999999999998</v>
      </c>
      <c r="BJ236" s="139">
        <f t="shared" si="616"/>
        <v>42.027777777777779</v>
      </c>
      <c r="BK236" s="139">
        <f t="shared" si="625"/>
        <v>30.259999999999998</v>
      </c>
    </row>
    <row r="237" spans="1:63" ht="15" thickBot="1">
      <c r="A237" s="127" t="s">
        <v>61</v>
      </c>
      <c r="B237" s="118">
        <v>31</v>
      </c>
      <c r="C237" s="118">
        <f t="shared" si="597"/>
        <v>744</v>
      </c>
      <c r="D237" s="122">
        <f t="shared" si="584"/>
        <v>32.258064516129032</v>
      </c>
      <c r="E237" s="118">
        <v>24</v>
      </c>
      <c r="H237" s="123"/>
      <c r="J237" s="124">
        <v>1.85</v>
      </c>
      <c r="K237" s="125">
        <f t="shared" si="585"/>
        <v>59.677419354838712</v>
      </c>
      <c r="L237" s="125">
        <f t="shared" si="598"/>
        <v>44.400000000000006</v>
      </c>
      <c r="M237" s="124">
        <v>0.49</v>
      </c>
      <c r="N237" s="125">
        <f t="shared" si="586"/>
        <v>15.806451612903226</v>
      </c>
      <c r="O237" s="125">
        <f t="shared" si="599"/>
        <v>11.76</v>
      </c>
      <c r="P237" s="124">
        <v>1.01</v>
      </c>
      <c r="Q237" s="125">
        <f t="shared" si="587"/>
        <v>32.58064516129032</v>
      </c>
      <c r="R237" s="125">
        <f t="shared" si="600"/>
        <v>24.240000000000002</v>
      </c>
      <c r="S237" s="124">
        <v>1.01</v>
      </c>
      <c r="T237" s="125">
        <f t="shared" si="588"/>
        <v>32.58064516129032</v>
      </c>
      <c r="U237" s="125">
        <f t="shared" si="601"/>
        <v>24.240000000000002</v>
      </c>
      <c r="X237" s="123"/>
      <c r="Y237" s="123"/>
      <c r="Z237" s="124">
        <v>2.3199999999999998</v>
      </c>
      <c r="AA237" s="125">
        <f t="shared" si="618"/>
        <v>74.838709677419345</v>
      </c>
      <c r="AB237" s="125">
        <f t="shared" si="589"/>
        <v>55.679999999999993</v>
      </c>
      <c r="AC237" s="124">
        <v>0.51</v>
      </c>
      <c r="AD237" s="125">
        <f t="shared" si="619"/>
        <v>16.451612903225808</v>
      </c>
      <c r="AE237" s="125">
        <f t="shared" si="590"/>
        <v>12.24</v>
      </c>
      <c r="AF237" s="124">
        <v>1</v>
      </c>
      <c r="AG237" s="125">
        <f t="shared" si="620"/>
        <v>32.258064516129032</v>
      </c>
      <c r="AH237" s="125">
        <f t="shared" si="591"/>
        <v>24</v>
      </c>
      <c r="AI237" s="124">
        <v>1</v>
      </c>
      <c r="AJ237" s="125">
        <f t="shared" si="621"/>
        <v>32.258064516129032</v>
      </c>
      <c r="AK237" s="125">
        <f t="shared" si="592"/>
        <v>24</v>
      </c>
      <c r="AL237" s="162"/>
      <c r="AN237" s="123"/>
      <c r="AO237" s="123"/>
      <c r="AP237" s="124">
        <v>2.35</v>
      </c>
      <c r="AQ237" s="125">
        <f t="shared" si="606"/>
        <v>75.806451612903231</v>
      </c>
      <c r="AR237" s="125">
        <f t="shared" si="593"/>
        <v>56.400000000000006</v>
      </c>
      <c r="AS237" s="124">
        <v>0.56999999999999995</v>
      </c>
      <c r="AT237" s="125">
        <f t="shared" si="607"/>
        <v>18.387096774193548</v>
      </c>
      <c r="AU237" s="125">
        <f t="shared" si="594"/>
        <v>13.68</v>
      </c>
      <c r="AV237" s="124">
        <v>0.92</v>
      </c>
      <c r="AW237" s="125">
        <f t="shared" si="608"/>
        <v>29.677419354838712</v>
      </c>
      <c r="AX237" s="125">
        <f t="shared" si="595"/>
        <v>22.080000000000002</v>
      </c>
      <c r="AY237" s="124">
        <v>0.92</v>
      </c>
      <c r="AZ237" s="125">
        <f t="shared" si="609"/>
        <v>29.677419354838712</v>
      </c>
      <c r="BA237" s="125">
        <f t="shared" si="596"/>
        <v>22.080000000000002</v>
      </c>
      <c r="BD237" s="139">
        <f t="shared" si="610"/>
        <v>67.741935483870975</v>
      </c>
      <c r="BE237" s="139">
        <f t="shared" si="623"/>
        <v>50.400000000000006</v>
      </c>
      <c r="BF237" s="139">
        <f t="shared" si="612"/>
        <v>17.096774193548388</v>
      </c>
      <c r="BG237" s="139">
        <f t="shared" si="624"/>
        <v>12.719999999999999</v>
      </c>
      <c r="BH237" s="139">
        <f t="shared" si="614"/>
        <v>31.129032258064516</v>
      </c>
      <c r="BI237" s="139">
        <f t="shared" si="615"/>
        <v>23.160000000000004</v>
      </c>
      <c r="BJ237" s="139">
        <f t="shared" si="616"/>
        <v>31.129032258064516</v>
      </c>
      <c r="BK237" s="139">
        <f t="shared" si="625"/>
        <v>23.160000000000004</v>
      </c>
    </row>
    <row r="239" spans="1:63">
      <c r="A239" s="128" t="s">
        <v>201</v>
      </c>
      <c r="B239" s="120" t="s">
        <v>172</v>
      </c>
      <c r="C239" s="120" t="s">
        <v>173</v>
      </c>
      <c r="E239" s="120" t="s">
        <v>174</v>
      </c>
      <c r="F239" s="120"/>
      <c r="G239" s="120"/>
      <c r="J239" s="305" t="s">
        <v>177</v>
      </c>
      <c r="K239" s="306"/>
      <c r="L239" s="307"/>
      <c r="M239" s="305" t="s">
        <v>178</v>
      </c>
      <c r="N239" s="306"/>
      <c r="O239" s="307"/>
      <c r="P239" s="305" t="s">
        <v>179</v>
      </c>
      <c r="Q239" s="306"/>
      <c r="R239" s="306"/>
      <c r="S239" s="308" t="s">
        <v>180</v>
      </c>
      <c r="T239" s="308"/>
      <c r="U239" s="308"/>
      <c r="Z239" s="305" t="s">
        <v>177</v>
      </c>
      <c r="AA239" s="306"/>
      <c r="AB239" s="307"/>
      <c r="AC239" s="305" t="s">
        <v>178</v>
      </c>
      <c r="AD239" s="306"/>
      <c r="AE239" s="307"/>
      <c r="AF239" s="305" t="s">
        <v>179</v>
      </c>
      <c r="AG239" s="306"/>
      <c r="AH239" s="306"/>
      <c r="AI239" s="308" t="s">
        <v>180</v>
      </c>
      <c r="AJ239" s="308"/>
      <c r="AK239" s="308"/>
      <c r="AL239" s="128"/>
      <c r="AP239" s="305" t="s">
        <v>177</v>
      </c>
      <c r="AQ239" s="306"/>
      <c r="AR239" s="307"/>
      <c r="AS239" s="305" t="s">
        <v>178</v>
      </c>
      <c r="AT239" s="306"/>
      <c r="AU239" s="307"/>
      <c r="AV239" s="305" t="s">
        <v>179</v>
      </c>
      <c r="AW239" s="306"/>
      <c r="AX239" s="306"/>
      <c r="AY239" s="308" t="s">
        <v>180</v>
      </c>
      <c r="AZ239" s="308"/>
      <c r="BA239" s="308"/>
      <c r="BD239" s="310" t="s">
        <v>177</v>
      </c>
      <c r="BE239" s="311"/>
      <c r="BF239" s="310" t="s">
        <v>178</v>
      </c>
      <c r="BG239" s="311"/>
      <c r="BH239" s="310" t="s">
        <v>181</v>
      </c>
      <c r="BI239" s="311"/>
      <c r="BJ239" s="308" t="s">
        <v>180</v>
      </c>
      <c r="BK239" s="308"/>
    </row>
    <row r="240" spans="1:63" ht="13.8" thickBot="1">
      <c r="D240" s="118" t="s">
        <v>176</v>
      </c>
      <c r="E240" s="118" t="s">
        <v>175</v>
      </c>
      <c r="J240" s="117" t="s">
        <v>205</v>
      </c>
      <c r="K240" s="117" t="s">
        <v>176</v>
      </c>
      <c r="L240" s="117" t="s">
        <v>175</v>
      </c>
      <c r="M240" s="117" t="s">
        <v>205</v>
      </c>
      <c r="N240" s="117" t="s">
        <v>176</v>
      </c>
      <c r="O240" s="117" t="s">
        <v>175</v>
      </c>
      <c r="P240" s="117" t="s">
        <v>205</v>
      </c>
      <c r="Q240" s="117" t="s">
        <v>176</v>
      </c>
      <c r="R240" s="117" t="s">
        <v>175</v>
      </c>
      <c r="S240" s="137" t="s">
        <v>205</v>
      </c>
      <c r="T240" s="137" t="s">
        <v>176</v>
      </c>
      <c r="U240" s="137" t="s">
        <v>175</v>
      </c>
      <c r="Z240" s="117" t="s">
        <v>205</v>
      </c>
      <c r="AA240" s="117" t="s">
        <v>176</v>
      </c>
      <c r="AB240" s="117" t="s">
        <v>175</v>
      </c>
      <c r="AC240" s="117" t="s">
        <v>205</v>
      </c>
      <c r="AD240" s="117" t="s">
        <v>176</v>
      </c>
      <c r="AE240" s="117" t="s">
        <v>175</v>
      </c>
      <c r="AF240" s="117" t="s">
        <v>205</v>
      </c>
      <c r="AG240" s="117" t="s">
        <v>176</v>
      </c>
      <c r="AH240" s="117" t="s">
        <v>175</v>
      </c>
      <c r="AI240" s="137" t="s">
        <v>205</v>
      </c>
      <c r="AJ240" s="137" t="s">
        <v>176</v>
      </c>
      <c r="AK240" s="137" t="s">
        <v>175</v>
      </c>
      <c r="AP240" s="117" t="s">
        <v>205</v>
      </c>
      <c r="AQ240" s="117" t="s">
        <v>176</v>
      </c>
      <c r="AR240" s="117" t="s">
        <v>175</v>
      </c>
      <c r="AS240" s="117" t="s">
        <v>205</v>
      </c>
      <c r="AT240" s="117" t="s">
        <v>176</v>
      </c>
      <c r="AU240" s="117" t="s">
        <v>175</v>
      </c>
      <c r="AV240" s="117" t="s">
        <v>205</v>
      </c>
      <c r="AW240" s="117" t="s">
        <v>176</v>
      </c>
      <c r="AX240" s="117" t="s">
        <v>175</v>
      </c>
      <c r="AY240" s="137" t="s">
        <v>205</v>
      </c>
      <c r="AZ240" s="137" t="s">
        <v>176</v>
      </c>
      <c r="BA240" s="137" t="s">
        <v>175</v>
      </c>
      <c r="BD240" s="137" t="s">
        <v>176</v>
      </c>
      <c r="BE240" s="137" t="s">
        <v>175</v>
      </c>
      <c r="BF240" s="137" t="s">
        <v>176</v>
      </c>
      <c r="BG240" s="137" t="s">
        <v>175</v>
      </c>
      <c r="BH240" s="137" t="s">
        <v>176</v>
      </c>
      <c r="BI240" s="137" t="s">
        <v>175</v>
      </c>
      <c r="BJ240" s="137" t="s">
        <v>176</v>
      </c>
      <c r="BK240" s="137" t="s">
        <v>175</v>
      </c>
    </row>
    <row r="241" spans="1:63" ht="14.4">
      <c r="A241" s="121" t="s">
        <v>55</v>
      </c>
      <c r="B241" s="118">
        <v>31</v>
      </c>
      <c r="C241" s="118">
        <f>B241*24</f>
        <v>744</v>
      </c>
      <c r="D241" s="122">
        <f t="shared" ref="D241:D252" si="626">E241*1000/C241</f>
        <v>34.946236559139784</v>
      </c>
      <c r="E241" s="118">
        <v>26</v>
      </c>
      <c r="H241" s="123"/>
      <c r="J241" s="124">
        <v>1.61</v>
      </c>
      <c r="K241" s="125">
        <f t="shared" ref="K241:K252" si="627">J241*D241</f>
        <v>56.263440860215056</v>
      </c>
      <c r="L241" s="125">
        <f>$E241*J241</f>
        <v>41.86</v>
      </c>
      <c r="M241" s="124">
        <v>0.52</v>
      </c>
      <c r="N241" s="125">
        <f t="shared" ref="N241:N252" si="628">M241*D241</f>
        <v>18.172043010752688</v>
      </c>
      <c r="O241" s="125">
        <f>$E241*M241</f>
        <v>13.52</v>
      </c>
      <c r="P241" s="124">
        <v>1</v>
      </c>
      <c r="Q241" s="125">
        <f t="shared" ref="Q241:Q252" si="629">P241*D241</f>
        <v>34.946236559139784</v>
      </c>
      <c r="R241" s="125">
        <f>$E241*P241</f>
        <v>26</v>
      </c>
      <c r="S241" s="124">
        <v>1</v>
      </c>
      <c r="T241" s="125">
        <f t="shared" ref="T241:T252" si="630">S241*D241</f>
        <v>34.946236559139784</v>
      </c>
      <c r="U241" s="125">
        <f>$E241*S241</f>
        <v>26</v>
      </c>
      <c r="X241" s="123"/>
      <c r="Y241" s="123"/>
      <c r="Z241" s="124">
        <v>1.94</v>
      </c>
      <c r="AA241" s="125">
        <f>Z241*$D241</f>
        <v>67.795698924731184</v>
      </c>
      <c r="AB241" s="125">
        <f t="shared" ref="AB241:AB252" si="631">$E241*Z241</f>
        <v>50.44</v>
      </c>
      <c r="AC241" s="124">
        <v>0.51</v>
      </c>
      <c r="AD241" s="125">
        <f>AC241*$D241</f>
        <v>17.822580645161292</v>
      </c>
      <c r="AE241" s="125">
        <f t="shared" ref="AE241:AE252" si="632">$E241*AC241</f>
        <v>13.26</v>
      </c>
      <c r="AF241" s="124">
        <v>0.95</v>
      </c>
      <c r="AG241" s="125">
        <f>AF241*$D241</f>
        <v>33.198924731182792</v>
      </c>
      <c r="AH241" s="125">
        <f t="shared" ref="AH241:AH252" si="633">$E241*AF241</f>
        <v>24.7</v>
      </c>
      <c r="AI241" s="124">
        <v>0.95</v>
      </c>
      <c r="AJ241" s="125">
        <f>AI241*$D241</f>
        <v>33.198924731182792</v>
      </c>
      <c r="AK241" s="125">
        <f t="shared" ref="AK241:AK252" si="634">$E241*AI241</f>
        <v>24.7</v>
      </c>
      <c r="AL241" s="162"/>
      <c r="AN241" s="123"/>
      <c r="AO241" s="123"/>
      <c r="AP241" s="124">
        <v>1.92</v>
      </c>
      <c r="AQ241" s="125">
        <f>AP241*$D241</f>
        <v>67.096774193548384</v>
      </c>
      <c r="AR241" s="125">
        <f t="shared" ref="AR241:AR252" si="635">$E241*AP241</f>
        <v>49.92</v>
      </c>
      <c r="AS241" s="124">
        <v>0.55000000000000004</v>
      </c>
      <c r="AT241" s="125">
        <f>AS241*$D241</f>
        <v>19.220430107526884</v>
      </c>
      <c r="AU241" s="125">
        <f t="shared" ref="AU241:AU252" si="636">$E241*AS241</f>
        <v>14.3</v>
      </c>
      <c r="AV241" s="124">
        <v>0.85</v>
      </c>
      <c r="AW241" s="125">
        <f>AV241*$D241</f>
        <v>29.704301075268816</v>
      </c>
      <c r="AX241" s="125">
        <f t="shared" ref="AX241:AX252" si="637">$E241*AV241</f>
        <v>22.099999999999998</v>
      </c>
      <c r="AY241" s="124">
        <v>0.85</v>
      </c>
      <c r="AZ241" s="125">
        <f>AY241*$D241</f>
        <v>29.704301075268816</v>
      </c>
      <c r="BA241" s="125">
        <f t="shared" ref="BA241:BA252" si="638">$E241*AY241</f>
        <v>22.099999999999998</v>
      </c>
      <c r="BD241" s="139">
        <f>(K241+AQ241)/2</f>
        <v>61.68010752688172</v>
      </c>
      <c r="BE241" s="139">
        <f>(L241+AR241)/2</f>
        <v>45.89</v>
      </c>
      <c r="BF241" s="139">
        <f>(N241+AT241)/2</f>
        <v>18.696236559139784</v>
      </c>
      <c r="BG241" s="139">
        <f>(O241+AU241)/2</f>
        <v>13.91</v>
      </c>
      <c r="BH241" s="139">
        <f>(Q241+AW241)/2</f>
        <v>32.325268817204304</v>
      </c>
      <c r="BI241" s="139">
        <f>(R241+AX241)/2</f>
        <v>24.049999999999997</v>
      </c>
      <c r="BJ241" s="139">
        <f>(T241+AZ241)/2</f>
        <v>32.325268817204304</v>
      </c>
      <c r="BK241" s="139">
        <f>(U241+BA241)/2</f>
        <v>24.049999999999997</v>
      </c>
    </row>
    <row r="242" spans="1:63" ht="14.4">
      <c r="A242" s="126" t="s">
        <v>56</v>
      </c>
      <c r="B242" s="118">
        <v>28</v>
      </c>
      <c r="C242" s="118">
        <f t="shared" ref="C242:C252" si="639">B242*24</f>
        <v>672</v>
      </c>
      <c r="D242" s="122">
        <f t="shared" si="626"/>
        <v>71.428571428571431</v>
      </c>
      <c r="E242" s="118">
        <v>48</v>
      </c>
      <c r="H242" s="123"/>
      <c r="J242" s="124">
        <v>1.45</v>
      </c>
      <c r="K242" s="125">
        <f t="shared" si="627"/>
        <v>103.57142857142857</v>
      </c>
      <c r="L242" s="125">
        <f t="shared" ref="L242:L252" si="640">$E242*J242</f>
        <v>69.599999999999994</v>
      </c>
      <c r="M242" s="124">
        <v>0.45</v>
      </c>
      <c r="N242" s="125">
        <f t="shared" si="628"/>
        <v>32.142857142857146</v>
      </c>
      <c r="O242" s="125">
        <f t="shared" ref="O242:O252" si="641">$E242*M242</f>
        <v>21.6</v>
      </c>
      <c r="P242" s="124">
        <v>0.98</v>
      </c>
      <c r="Q242" s="125">
        <f t="shared" si="629"/>
        <v>70</v>
      </c>
      <c r="R242" s="125">
        <f t="shared" ref="R242:R252" si="642">$E242*P242</f>
        <v>47.04</v>
      </c>
      <c r="S242" s="124">
        <v>0.98</v>
      </c>
      <c r="T242" s="125">
        <f t="shared" si="630"/>
        <v>70</v>
      </c>
      <c r="U242" s="125">
        <f t="shared" ref="U242:U252" si="643">$E242*S242</f>
        <v>47.04</v>
      </c>
      <c r="X242" s="123"/>
      <c r="Y242" s="123"/>
      <c r="Z242" s="124">
        <v>1.64</v>
      </c>
      <c r="AA242" s="125">
        <f t="shared" ref="AA242:AA243" si="644">Z242*$D242</f>
        <v>117.14285714285714</v>
      </c>
      <c r="AB242" s="125">
        <f t="shared" si="631"/>
        <v>78.72</v>
      </c>
      <c r="AC242" s="124">
        <v>0.44</v>
      </c>
      <c r="AD242" s="125">
        <f t="shared" ref="AD242:AD243" si="645">AC242*$D242</f>
        <v>31.428571428571431</v>
      </c>
      <c r="AE242" s="125">
        <f t="shared" si="632"/>
        <v>21.12</v>
      </c>
      <c r="AF242" s="124">
        <v>0.92</v>
      </c>
      <c r="AG242" s="125">
        <f t="shared" ref="AG242:AG243" si="646">AF242*$D242</f>
        <v>65.714285714285722</v>
      </c>
      <c r="AH242" s="125">
        <f t="shared" si="633"/>
        <v>44.160000000000004</v>
      </c>
      <c r="AI242" s="124">
        <v>0.92</v>
      </c>
      <c r="AJ242" s="125">
        <f t="shared" ref="AJ242:AJ243" si="647">AI242*$D242</f>
        <v>65.714285714285722</v>
      </c>
      <c r="AK242" s="125">
        <f t="shared" si="634"/>
        <v>44.160000000000004</v>
      </c>
      <c r="AL242" s="162"/>
      <c r="AN242" s="123"/>
      <c r="AO242" s="123"/>
      <c r="AP242" s="124">
        <v>1.54</v>
      </c>
      <c r="AQ242" s="125">
        <f t="shared" ref="AQ242:AQ252" si="648">AP242*$D242</f>
        <v>110</v>
      </c>
      <c r="AR242" s="125">
        <f t="shared" si="635"/>
        <v>73.92</v>
      </c>
      <c r="AS242" s="124">
        <v>0.47</v>
      </c>
      <c r="AT242" s="125">
        <f t="shared" ref="AT242:AT252" si="649">AS242*$D242</f>
        <v>33.571428571428569</v>
      </c>
      <c r="AU242" s="125">
        <f t="shared" si="636"/>
        <v>22.56</v>
      </c>
      <c r="AV242" s="124">
        <v>0.8</v>
      </c>
      <c r="AW242" s="125">
        <f t="shared" ref="AW242:AW252" si="650">AV242*$D242</f>
        <v>57.142857142857146</v>
      </c>
      <c r="AX242" s="125">
        <f t="shared" si="637"/>
        <v>38.400000000000006</v>
      </c>
      <c r="AY242" s="124">
        <v>0.8</v>
      </c>
      <c r="AZ242" s="125">
        <f t="shared" ref="AZ242:AZ252" si="651">AY242*$D242</f>
        <v>57.142857142857146</v>
      </c>
      <c r="BA242" s="125">
        <f t="shared" si="638"/>
        <v>38.400000000000006</v>
      </c>
      <c r="BD242" s="139">
        <f t="shared" ref="BD242:BD252" si="652">(K242+AQ242)/2</f>
        <v>106.78571428571428</v>
      </c>
      <c r="BE242" s="139">
        <f t="shared" ref="BE242:BE247" si="653">(L242+AR242)/2</f>
        <v>71.759999999999991</v>
      </c>
      <c r="BF242" s="139">
        <f t="shared" ref="BF242:BF252" si="654">(N242+AT242)/2</f>
        <v>32.857142857142861</v>
      </c>
      <c r="BG242" s="139">
        <f t="shared" ref="BG242:BG247" si="655">(O242+AU242)/2</f>
        <v>22.08</v>
      </c>
      <c r="BH242" s="139">
        <f t="shared" ref="BH242:BH252" si="656">(Q242+AW242)/2</f>
        <v>63.571428571428569</v>
      </c>
      <c r="BI242" s="139">
        <f t="shared" ref="BI242:BI252" si="657">(R242+AX242)/2</f>
        <v>42.72</v>
      </c>
      <c r="BJ242" s="139">
        <f t="shared" ref="BJ242:BJ252" si="658">(T242+AZ242)/2</f>
        <v>63.571428571428569</v>
      </c>
      <c r="BK242" s="139">
        <f t="shared" ref="BK242:BK245" si="659">(U242+BA242)/2</f>
        <v>42.72</v>
      </c>
    </row>
    <row r="243" spans="1:63" ht="14.4">
      <c r="A243" s="126" t="s">
        <v>57</v>
      </c>
      <c r="B243" s="118">
        <v>31</v>
      </c>
      <c r="C243" s="118">
        <f t="shared" si="639"/>
        <v>744</v>
      </c>
      <c r="D243" s="122">
        <f t="shared" si="626"/>
        <v>115.59139784946237</v>
      </c>
      <c r="E243" s="118">
        <v>86</v>
      </c>
      <c r="H243" s="123"/>
      <c r="J243" s="124">
        <v>1.25</v>
      </c>
      <c r="K243" s="125">
        <f t="shared" si="627"/>
        <v>144.48924731182797</v>
      </c>
      <c r="L243" s="125">
        <f t="shared" si="640"/>
        <v>107.5</v>
      </c>
      <c r="M243" s="124">
        <v>0.52</v>
      </c>
      <c r="N243" s="125">
        <f t="shared" si="628"/>
        <v>60.107526881720432</v>
      </c>
      <c r="O243" s="125">
        <f t="shared" si="641"/>
        <v>44.72</v>
      </c>
      <c r="P243" s="124">
        <v>0.96</v>
      </c>
      <c r="Q243" s="125">
        <f t="shared" si="629"/>
        <v>110.96774193548387</v>
      </c>
      <c r="R243" s="125">
        <f t="shared" si="642"/>
        <v>82.56</v>
      </c>
      <c r="S243" s="124">
        <v>0.96</v>
      </c>
      <c r="T243" s="125">
        <f t="shared" si="630"/>
        <v>110.96774193548387</v>
      </c>
      <c r="U243" s="125">
        <f t="shared" si="643"/>
        <v>82.56</v>
      </c>
      <c r="X243" s="123"/>
      <c r="Y243" s="123"/>
      <c r="Z243" s="124">
        <v>1.28</v>
      </c>
      <c r="AA243" s="125">
        <f t="shared" si="644"/>
        <v>147.95698924731184</v>
      </c>
      <c r="AB243" s="125">
        <f t="shared" si="631"/>
        <v>110.08</v>
      </c>
      <c r="AC243" s="124">
        <v>0.35</v>
      </c>
      <c r="AD243" s="125">
        <f t="shared" si="645"/>
        <v>40.456989247311824</v>
      </c>
      <c r="AE243" s="125">
        <f t="shared" si="632"/>
        <v>30.099999999999998</v>
      </c>
      <c r="AF243" s="124">
        <v>0.85</v>
      </c>
      <c r="AG243" s="125">
        <f t="shared" si="646"/>
        <v>98.252688172043008</v>
      </c>
      <c r="AH243" s="125">
        <f t="shared" si="633"/>
        <v>73.099999999999994</v>
      </c>
      <c r="AI243" s="124">
        <v>0.85</v>
      </c>
      <c r="AJ243" s="125">
        <f t="shared" si="647"/>
        <v>98.252688172043008</v>
      </c>
      <c r="AK243" s="125">
        <f t="shared" si="634"/>
        <v>73.099999999999994</v>
      </c>
      <c r="AL243" s="162"/>
      <c r="AN243" s="123"/>
      <c r="AO243" s="123"/>
      <c r="AP243" s="124">
        <v>1.06</v>
      </c>
      <c r="AQ243" s="125">
        <f t="shared" si="648"/>
        <v>122.52688172043011</v>
      </c>
      <c r="AR243" s="125">
        <f t="shared" si="635"/>
        <v>91.160000000000011</v>
      </c>
      <c r="AS243" s="124">
        <v>0.34</v>
      </c>
      <c r="AT243" s="125">
        <f t="shared" si="649"/>
        <v>39.301075268817208</v>
      </c>
      <c r="AU243" s="125">
        <f t="shared" si="636"/>
        <v>29.240000000000002</v>
      </c>
      <c r="AV243" s="124">
        <v>0.67</v>
      </c>
      <c r="AW243" s="125">
        <f t="shared" si="650"/>
        <v>77.446236559139791</v>
      </c>
      <c r="AX243" s="125">
        <f t="shared" si="637"/>
        <v>57.620000000000005</v>
      </c>
      <c r="AY243" s="124">
        <v>0.67</v>
      </c>
      <c r="AZ243" s="125">
        <f t="shared" si="651"/>
        <v>77.446236559139791</v>
      </c>
      <c r="BA243" s="125">
        <f t="shared" si="638"/>
        <v>57.620000000000005</v>
      </c>
      <c r="BD243" s="139">
        <f t="shared" si="652"/>
        <v>133.50806451612902</v>
      </c>
      <c r="BE243" s="139">
        <f t="shared" si="653"/>
        <v>99.330000000000013</v>
      </c>
      <c r="BF243" s="139">
        <f t="shared" si="654"/>
        <v>49.704301075268816</v>
      </c>
      <c r="BG243" s="139">
        <f t="shared" si="655"/>
        <v>36.980000000000004</v>
      </c>
      <c r="BH243" s="139">
        <f t="shared" si="656"/>
        <v>94.206989247311839</v>
      </c>
      <c r="BI243" s="139">
        <f t="shared" si="657"/>
        <v>70.09</v>
      </c>
      <c r="BJ243" s="139">
        <f t="shared" si="658"/>
        <v>94.206989247311839</v>
      </c>
      <c r="BK243" s="139">
        <f t="shared" si="659"/>
        <v>70.09</v>
      </c>
    </row>
    <row r="244" spans="1:63" ht="14.4">
      <c r="A244" s="126" t="s">
        <v>58</v>
      </c>
      <c r="B244" s="118">
        <v>30</v>
      </c>
      <c r="C244" s="118">
        <f t="shared" si="639"/>
        <v>720</v>
      </c>
      <c r="D244" s="122">
        <f t="shared" si="626"/>
        <v>180.55555555555554</v>
      </c>
      <c r="E244" s="118">
        <v>130</v>
      </c>
      <c r="H244" s="123"/>
      <c r="J244" s="124">
        <v>1.0900000000000001</v>
      </c>
      <c r="K244" s="125">
        <f t="shared" si="627"/>
        <v>196.80555555555554</v>
      </c>
      <c r="L244" s="125">
        <f t="shared" si="640"/>
        <v>141.70000000000002</v>
      </c>
      <c r="M244" s="124">
        <v>0.68</v>
      </c>
      <c r="N244" s="125">
        <f t="shared" si="628"/>
        <v>122.77777777777777</v>
      </c>
      <c r="O244" s="125">
        <f t="shared" si="641"/>
        <v>88.4</v>
      </c>
      <c r="P244" s="124">
        <v>0.94</v>
      </c>
      <c r="Q244" s="125">
        <f t="shared" si="629"/>
        <v>169.7222222222222</v>
      </c>
      <c r="R244" s="125">
        <f t="shared" si="642"/>
        <v>122.19999999999999</v>
      </c>
      <c r="S244" s="124">
        <v>0.94</v>
      </c>
      <c r="T244" s="125">
        <f t="shared" si="630"/>
        <v>169.7222222222222</v>
      </c>
      <c r="U244" s="125">
        <f t="shared" si="643"/>
        <v>122.19999999999999</v>
      </c>
      <c r="X244" s="123"/>
      <c r="Y244" s="123"/>
      <c r="Z244" s="124">
        <v>0.99</v>
      </c>
      <c r="AA244" s="125">
        <f>Z244*$D244</f>
        <v>178.75</v>
      </c>
      <c r="AB244" s="125">
        <f t="shared" si="631"/>
        <v>128.69999999999999</v>
      </c>
      <c r="AC244" s="124">
        <v>0.34</v>
      </c>
      <c r="AD244" s="125">
        <f>AC244*$D244</f>
        <v>61.388888888888886</v>
      </c>
      <c r="AE244" s="125">
        <f t="shared" si="632"/>
        <v>44.2</v>
      </c>
      <c r="AF244" s="124">
        <v>0.81</v>
      </c>
      <c r="AG244" s="125">
        <f>AF244*$D244</f>
        <v>146.25</v>
      </c>
      <c r="AH244" s="125">
        <f t="shared" si="633"/>
        <v>105.30000000000001</v>
      </c>
      <c r="AI244" s="124">
        <v>0.81</v>
      </c>
      <c r="AJ244" s="125">
        <f>AI244*$D244</f>
        <v>146.25</v>
      </c>
      <c r="AK244" s="125">
        <f t="shared" si="634"/>
        <v>105.30000000000001</v>
      </c>
      <c r="AL244" s="162"/>
      <c r="AN244" s="123"/>
      <c r="AO244" s="123"/>
      <c r="AP244" s="124">
        <v>0.72</v>
      </c>
      <c r="AQ244" s="125">
        <f>AP244*$D244</f>
        <v>130</v>
      </c>
      <c r="AR244" s="125">
        <f t="shared" si="635"/>
        <v>93.6</v>
      </c>
      <c r="AS244" s="124">
        <v>0.3</v>
      </c>
      <c r="AT244" s="125">
        <f>AS244*$D244</f>
        <v>54.166666666666664</v>
      </c>
      <c r="AU244" s="125">
        <f t="shared" si="636"/>
        <v>39</v>
      </c>
      <c r="AV244" s="124">
        <v>0.59</v>
      </c>
      <c r="AW244" s="125">
        <f>AV244*$D244</f>
        <v>106.52777777777777</v>
      </c>
      <c r="AX244" s="125">
        <f t="shared" si="637"/>
        <v>76.7</v>
      </c>
      <c r="AY244" s="124">
        <v>0.59</v>
      </c>
      <c r="AZ244" s="125">
        <f>AY244*$D244</f>
        <v>106.52777777777777</v>
      </c>
      <c r="BA244" s="125">
        <f t="shared" si="638"/>
        <v>76.7</v>
      </c>
      <c r="BD244" s="139">
        <f t="shared" si="652"/>
        <v>163.40277777777777</v>
      </c>
      <c r="BE244" s="139">
        <f t="shared" si="653"/>
        <v>117.65</v>
      </c>
      <c r="BF244" s="139">
        <f t="shared" si="654"/>
        <v>88.472222222222214</v>
      </c>
      <c r="BG244" s="139">
        <f t="shared" si="655"/>
        <v>63.7</v>
      </c>
      <c r="BH244" s="139">
        <f t="shared" si="656"/>
        <v>138.125</v>
      </c>
      <c r="BI244" s="139">
        <f t="shared" si="657"/>
        <v>99.449999999999989</v>
      </c>
      <c r="BJ244" s="139">
        <f t="shared" si="658"/>
        <v>138.125</v>
      </c>
      <c r="BK244" s="139">
        <f t="shared" si="659"/>
        <v>99.449999999999989</v>
      </c>
    </row>
    <row r="245" spans="1:63" ht="14.4">
      <c r="A245" s="126" t="s">
        <v>183</v>
      </c>
      <c r="B245" s="118">
        <v>31</v>
      </c>
      <c r="C245" s="118">
        <f t="shared" si="639"/>
        <v>744</v>
      </c>
      <c r="D245" s="122">
        <f t="shared" si="626"/>
        <v>216.3978494623656</v>
      </c>
      <c r="E245" s="118">
        <v>161</v>
      </c>
      <c r="H245" s="123"/>
      <c r="J245" s="124">
        <v>1.01</v>
      </c>
      <c r="K245" s="125">
        <f t="shared" si="627"/>
        <v>218.56182795698925</v>
      </c>
      <c r="L245" s="125">
        <f t="shared" si="640"/>
        <v>162.61000000000001</v>
      </c>
      <c r="M245" s="124">
        <v>0.79</v>
      </c>
      <c r="N245" s="125">
        <f t="shared" si="628"/>
        <v>170.95430107526883</v>
      </c>
      <c r="O245" s="125">
        <f t="shared" si="641"/>
        <v>127.19000000000001</v>
      </c>
      <c r="P245" s="124">
        <v>0.94</v>
      </c>
      <c r="Q245" s="125">
        <f t="shared" si="629"/>
        <v>203.41397849462365</v>
      </c>
      <c r="R245" s="125">
        <f t="shared" si="642"/>
        <v>151.34</v>
      </c>
      <c r="S245" s="124">
        <v>0.94</v>
      </c>
      <c r="T245" s="125">
        <f t="shared" si="630"/>
        <v>203.41397849462365</v>
      </c>
      <c r="U245" s="125">
        <f t="shared" si="643"/>
        <v>151.34</v>
      </c>
      <c r="X245" s="123"/>
      <c r="Y245" s="123"/>
      <c r="Z245" s="124">
        <v>0.84</v>
      </c>
      <c r="AA245" s="125">
        <f t="shared" ref="AA245:AA252" si="660">Z245*$D245</f>
        <v>181.7741935483871</v>
      </c>
      <c r="AB245" s="125">
        <f t="shared" si="631"/>
        <v>135.24</v>
      </c>
      <c r="AC245" s="124">
        <v>0.4</v>
      </c>
      <c r="AD245" s="125">
        <f t="shared" ref="AD245:AD252" si="661">AC245*$D245</f>
        <v>86.55913978494624</v>
      </c>
      <c r="AE245" s="125">
        <f t="shared" si="632"/>
        <v>64.400000000000006</v>
      </c>
      <c r="AF245" s="124">
        <v>0.79</v>
      </c>
      <c r="AG245" s="125">
        <f t="shared" ref="AG245:AG252" si="662">AF245*$D245</f>
        <v>170.95430107526883</v>
      </c>
      <c r="AH245" s="125">
        <f t="shared" si="633"/>
        <v>127.19000000000001</v>
      </c>
      <c r="AI245" s="124">
        <v>0.79</v>
      </c>
      <c r="AJ245" s="125">
        <f t="shared" ref="AJ245:AJ252" si="663">AI245*$D245</f>
        <v>170.95430107526883</v>
      </c>
      <c r="AK245" s="125">
        <f t="shared" si="634"/>
        <v>127.19000000000001</v>
      </c>
      <c r="AL245" s="162"/>
      <c r="AN245" s="123"/>
      <c r="AO245" s="123"/>
      <c r="AP245" s="124">
        <v>0.55000000000000004</v>
      </c>
      <c r="AQ245" s="125">
        <f t="shared" si="648"/>
        <v>119.01881720430109</v>
      </c>
      <c r="AR245" s="125">
        <f t="shared" si="635"/>
        <v>88.550000000000011</v>
      </c>
      <c r="AS245" s="124">
        <v>0.3</v>
      </c>
      <c r="AT245" s="125">
        <f t="shared" si="649"/>
        <v>64.91935483870968</v>
      </c>
      <c r="AU245" s="125">
        <f t="shared" si="636"/>
        <v>48.3</v>
      </c>
      <c r="AV245" s="124">
        <v>0.56000000000000005</v>
      </c>
      <c r="AW245" s="125">
        <f t="shared" si="650"/>
        <v>121.18279569892475</v>
      </c>
      <c r="AX245" s="125">
        <f t="shared" si="637"/>
        <v>90.160000000000011</v>
      </c>
      <c r="AY245" s="124">
        <v>0.56000000000000005</v>
      </c>
      <c r="AZ245" s="125">
        <f t="shared" si="651"/>
        <v>121.18279569892475</v>
      </c>
      <c r="BA245" s="125">
        <f t="shared" si="638"/>
        <v>90.160000000000011</v>
      </c>
      <c r="BD245" s="139">
        <f t="shared" si="652"/>
        <v>168.79032258064518</v>
      </c>
      <c r="BE245" s="139">
        <f t="shared" si="653"/>
        <v>125.58000000000001</v>
      </c>
      <c r="BF245" s="139">
        <f t="shared" si="654"/>
        <v>117.93682795698925</v>
      </c>
      <c r="BG245" s="139">
        <f t="shared" si="655"/>
        <v>87.745000000000005</v>
      </c>
      <c r="BH245" s="139">
        <f t="shared" si="656"/>
        <v>162.29838709677421</v>
      </c>
      <c r="BI245" s="139">
        <f t="shared" si="657"/>
        <v>120.75</v>
      </c>
      <c r="BJ245" s="139">
        <f t="shared" si="658"/>
        <v>162.29838709677421</v>
      </c>
      <c r="BK245" s="139">
        <f t="shared" si="659"/>
        <v>120.75</v>
      </c>
    </row>
    <row r="246" spans="1:63" ht="14.4">
      <c r="A246" s="126" t="s">
        <v>184</v>
      </c>
      <c r="B246" s="118">
        <v>30</v>
      </c>
      <c r="C246" s="118">
        <f t="shared" si="639"/>
        <v>720</v>
      </c>
      <c r="D246" s="122">
        <f t="shared" si="626"/>
        <v>240.27777777777777</v>
      </c>
      <c r="E246" s="118">
        <v>173</v>
      </c>
      <c r="H246" s="123"/>
      <c r="I246" s="117" t="s">
        <v>198</v>
      </c>
      <c r="J246" s="124">
        <v>0.97</v>
      </c>
      <c r="K246" s="125">
        <f t="shared" si="627"/>
        <v>233.06944444444443</v>
      </c>
      <c r="L246" s="125">
        <f t="shared" si="640"/>
        <v>167.81</v>
      </c>
      <c r="M246" s="124">
        <v>0.82</v>
      </c>
      <c r="N246" s="125">
        <f t="shared" si="628"/>
        <v>197.02777777777777</v>
      </c>
      <c r="O246" s="125">
        <f t="shared" si="641"/>
        <v>141.85999999999999</v>
      </c>
      <c r="P246" s="124">
        <v>0.93</v>
      </c>
      <c r="Q246" s="125">
        <f t="shared" si="629"/>
        <v>223.45833333333334</v>
      </c>
      <c r="R246" s="125">
        <f t="shared" si="642"/>
        <v>160.89000000000001</v>
      </c>
      <c r="S246" s="124">
        <v>0.93</v>
      </c>
      <c r="T246" s="125">
        <f t="shared" si="630"/>
        <v>223.45833333333334</v>
      </c>
      <c r="U246" s="125">
        <f t="shared" si="643"/>
        <v>160.89000000000001</v>
      </c>
      <c r="W246" s="117" t="s">
        <v>198</v>
      </c>
      <c r="X246" s="123"/>
      <c r="Y246" s="123"/>
      <c r="Z246" s="124">
        <v>0.78</v>
      </c>
      <c r="AA246" s="125">
        <f t="shared" si="660"/>
        <v>187.41666666666666</v>
      </c>
      <c r="AB246" s="125">
        <f t="shared" si="631"/>
        <v>134.94</v>
      </c>
      <c r="AC246" s="124">
        <v>0.45</v>
      </c>
      <c r="AD246" s="125">
        <f t="shared" si="661"/>
        <v>108.125</v>
      </c>
      <c r="AE246" s="125">
        <f t="shared" si="632"/>
        <v>77.850000000000009</v>
      </c>
      <c r="AF246" s="124">
        <v>0.78</v>
      </c>
      <c r="AG246" s="125">
        <f t="shared" si="662"/>
        <v>187.41666666666666</v>
      </c>
      <c r="AH246" s="125">
        <f t="shared" si="633"/>
        <v>134.94</v>
      </c>
      <c r="AI246" s="124">
        <v>0.78</v>
      </c>
      <c r="AJ246" s="125">
        <f t="shared" si="663"/>
        <v>187.41666666666666</v>
      </c>
      <c r="AK246" s="125">
        <f t="shared" si="634"/>
        <v>134.94</v>
      </c>
      <c r="AL246" s="162"/>
      <c r="AM246" s="117" t="s">
        <v>198</v>
      </c>
      <c r="AN246" s="123"/>
      <c r="AO246" s="123"/>
      <c r="AP246" s="124">
        <v>0.5</v>
      </c>
      <c r="AQ246" s="125">
        <f t="shared" si="648"/>
        <v>120.13888888888889</v>
      </c>
      <c r="AR246" s="125">
        <f t="shared" si="635"/>
        <v>86.5</v>
      </c>
      <c r="AS246" s="124">
        <v>0.32</v>
      </c>
      <c r="AT246" s="125">
        <f t="shared" si="649"/>
        <v>76.888888888888886</v>
      </c>
      <c r="AU246" s="125">
        <f t="shared" si="636"/>
        <v>55.36</v>
      </c>
      <c r="AV246" s="124">
        <v>0.55000000000000004</v>
      </c>
      <c r="AW246" s="125">
        <f t="shared" si="650"/>
        <v>132.15277777777777</v>
      </c>
      <c r="AX246" s="125">
        <f t="shared" si="637"/>
        <v>95.15</v>
      </c>
      <c r="AY246" s="124">
        <v>0.55000000000000004</v>
      </c>
      <c r="AZ246" s="125">
        <f t="shared" si="651"/>
        <v>132.15277777777777</v>
      </c>
      <c r="BA246" s="125">
        <f t="shared" si="638"/>
        <v>95.15</v>
      </c>
      <c r="BC246" s="117" t="s">
        <v>198</v>
      </c>
      <c r="BD246" s="139">
        <f t="shared" si="652"/>
        <v>176.60416666666666</v>
      </c>
      <c r="BE246" s="139">
        <f t="shared" si="653"/>
        <v>127.155</v>
      </c>
      <c r="BF246" s="139">
        <f t="shared" si="654"/>
        <v>136.95833333333331</v>
      </c>
      <c r="BG246" s="139">
        <f t="shared" si="655"/>
        <v>98.609999999999985</v>
      </c>
      <c r="BH246" s="139">
        <f t="shared" si="656"/>
        <v>177.80555555555554</v>
      </c>
      <c r="BI246" s="139">
        <f t="shared" si="657"/>
        <v>128.02000000000001</v>
      </c>
      <c r="BJ246" s="139">
        <f t="shared" si="658"/>
        <v>177.80555555555554</v>
      </c>
      <c r="BK246" s="139">
        <f>(U246+BA246)/2</f>
        <v>128.02000000000001</v>
      </c>
    </row>
    <row r="247" spans="1:63" ht="14.4">
      <c r="A247" s="126" t="s">
        <v>185</v>
      </c>
      <c r="B247" s="118">
        <v>31</v>
      </c>
      <c r="C247" s="118">
        <f t="shared" si="639"/>
        <v>744</v>
      </c>
      <c r="D247" s="122">
        <f t="shared" si="626"/>
        <v>229.83870967741936</v>
      </c>
      <c r="E247" s="118">
        <v>171</v>
      </c>
      <c r="H247" s="123"/>
      <c r="I247" s="117" t="s">
        <v>243</v>
      </c>
      <c r="J247" s="124">
        <v>0.98</v>
      </c>
      <c r="K247" s="125">
        <f t="shared" si="627"/>
        <v>225.24193548387098</v>
      </c>
      <c r="L247" s="125">
        <f t="shared" si="640"/>
        <v>167.57999999999998</v>
      </c>
      <c r="M247" s="124">
        <v>0.81</v>
      </c>
      <c r="N247" s="125">
        <f t="shared" si="628"/>
        <v>186.16935483870969</v>
      </c>
      <c r="O247" s="125">
        <f t="shared" si="641"/>
        <v>138.51000000000002</v>
      </c>
      <c r="P247" s="124">
        <v>0.93</v>
      </c>
      <c r="Q247" s="125">
        <f t="shared" si="629"/>
        <v>213.75000000000003</v>
      </c>
      <c r="R247" s="125">
        <f t="shared" si="642"/>
        <v>159.03</v>
      </c>
      <c r="S247" s="124">
        <v>0.93</v>
      </c>
      <c r="T247" s="125">
        <f t="shared" si="630"/>
        <v>213.75000000000003</v>
      </c>
      <c r="U247" s="125">
        <f t="shared" si="643"/>
        <v>159.03</v>
      </c>
      <c r="W247" s="117" t="s">
        <v>243</v>
      </c>
      <c r="X247" s="123"/>
      <c r="Y247" s="123"/>
      <c r="Z247" s="124">
        <v>0.81</v>
      </c>
      <c r="AA247" s="125">
        <f t="shared" si="660"/>
        <v>186.16935483870969</v>
      </c>
      <c r="AB247" s="125">
        <f t="shared" si="631"/>
        <v>138.51000000000002</v>
      </c>
      <c r="AC247" s="124">
        <v>0.42</v>
      </c>
      <c r="AD247" s="125">
        <f t="shared" si="661"/>
        <v>96.532258064516128</v>
      </c>
      <c r="AE247" s="125">
        <f t="shared" si="632"/>
        <v>71.819999999999993</v>
      </c>
      <c r="AF247" s="124">
        <v>0.78</v>
      </c>
      <c r="AG247" s="125">
        <f t="shared" si="662"/>
        <v>179.2741935483871</v>
      </c>
      <c r="AH247" s="125">
        <f t="shared" si="633"/>
        <v>133.38</v>
      </c>
      <c r="AI247" s="124">
        <v>0.78</v>
      </c>
      <c r="AJ247" s="125">
        <f t="shared" si="663"/>
        <v>179.2741935483871</v>
      </c>
      <c r="AK247" s="125">
        <f t="shared" si="634"/>
        <v>133.38</v>
      </c>
      <c r="AL247" s="162"/>
      <c r="AM247" s="117" t="s">
        <v>243</v>
      </c>
      <c r="AN247" s="123"/>
      <c r="AO247" s="123"/>
      <c r="AP247" s="124">
        <v>0.52</v>
      </c>
      <c r="AQ247" s="125">
        <f t="shared" si="648"/>
        <v>119.51612903225806</v>
      </c>
      <c r="AR247" s="125">
        <f t="shared" si="635"/>
        <v>88.92</v>
      </c>
      <c r="AS247" s="124">
        <v>0.31</v>
      </c>
      <c r="AT247" s="125">
        <f t="shared" si="649"/>
        <v>71.25</v>
      </c>
      <c r="AU247" s="125">
        <f t="shared" si="636"/>
        <v>53.01</v>
      </c>
      <c r="AV247" s="124">
        <v>0.55000000000000004</v>
      </c>
      <c r="AW247" s="125">
        <f t="shared" si="650"/>
        <v>126.41129032258065</v>
      </c>
      <c r="AX247" s="125">
        <f t="shared" si="637"/>
        <v>94.050000000000011</v>
      </c>
      <c r="AY247" s="124">
        <v>0.55000000000000004</v>
      </c>
      <c r="AZ247" s="125">
        <f t="shared" si="651"/>
        <v>126.41129032258065</v>
      </c>
      <c r="BA247" s="125">
        <f t="shared" si="638"/>
        <v>94.050000000000011</v>
      </c>
      <c r="BC247" s="117" t="s">
        <v>243</v>
      </c>
      <c r="BD247" s="139">
        <f t="shared" si="652"/>
        <v>172.37903225806451</v>
      </c>
      <c r="BE247" s="139">
        <f t="shared" si="653"/>
        <v>128.25</v>
      </c>
      <c r="BF247" s="139">
        <f t="shared" si="654"/>
        <v>128.70967741935485</v>
      </c>
      <c r="BG247" s="139">
        <f t="shared" si="655"/>
        <v>95.76</v>
      </c>
      <c r="BH247" s="139">
        <f t="shared" si="656"/>
        <v>170.08064516129033</v>
      </c>
      <c r="BI247" s="139">
        <f t="shared" si="657"/>
        <v>126.54</v>
      </c>
      <c r="BJ247" s="139">
        <f t="shared" si="658"/>
        <v>170.08064516129033</v>
      </c>
      <c r="BK247" s="139">
        <f t="shared" ref="BK247:BK248" si="664">(U247+BA247)/2</f>
        <v>126.54</v>
      </c>
    </row>
    <row r="248" spans="1:63" ht="14.4">
      <c r="A248" s="126" t="s">
        <v>186</v>
      </c>
      <c r="B248" s="118">
        <v>31</v>
      </c>
      <c r="C248" s="118">
        <f t="shared" si="639"/>
        <v>744</v>
      </c>
      <c r="D248" s="122">
        <f t="shared" si="626"/>
        <v>193.54838709677421</v>
      </c>
      <c r="E248" s="118">
        <v>144</v>
      </c>
      <c r="H248" s="123"/>
      <c r="J248" s="124">
        <v>1.04</v>
      </c>
      <c r="K248" s="125">
        <f t="shared" si="627"/>
        <v>201.29032258064518</v>
      </c>
      <c r="L248" s="125">
        <f t="shared" si="640"/>
        <v>149.76</v>
      </c>
      <c r="M248" s="124">
        <v>0.73</v>
      </c>
      <c r="N248" s="125">
        <f t="shared" si="628"/>
        <v>141.29032258064515</v>
      </c>
      <c r="O248" s="125">
        <f t="shared" si="641"/>
        <v>105.12</v>
      </c>
      <c r="P248" s="124">
        <v>0.94</v>
      </c>
      <c r="Q248" s="125">
        <f t="shared" si="629"/>
        <v>181.93548387096774</v>
      </c>
      <c r="R248" s="125">
        <f t="shared" si="642"/>
        <v>135.35999999999999</v>
      </c>
      <c r="S248" s="124">
        <v>0.94</v>
      </c>
      <c r="T248" s="125">
        <f t="shared" si="630"/>
        <v>181.93548387096774</v>
      </c>
      <c r="U248" s="125">
        <f t="shared" si="643"/>
        <v>135.35999999999999</v>
      </c>
      <c r="X248" s="123"/>
      <c r="Y248" s="123"/>
      <c r="Z248" s="124">
        <v>0.91</v>
      </c>
      <c r="AA248" s="125">
        <f t="shared" si="660"/>
        <v>176.12903225806454</v>
      </c>
      <c r="AB248" s="125">
        <f t="shared" si="631"/>
        <v>131.04</v>
      </c>
      <c r="AC248" s="124">
        <v>0.35</v>
      </c>
      <c r="AD248" s="125">
        <f t="shared" si="661"/>
        <v>67.741935483870961</v>
      </c>
      <c r="AE248" s="125">
        <f t="shared" si="632"/>
        <v>50.4</v>
      </c>
      <c r="AF248" s="124">
        <v>0.79</v>
      </c>
      <c r="AG248" s="125">
        <f t="shared" si="662"/>
        <v>152.90322580645164</v>
      </c>
      <c r="AH248" s="125">
        <f t="shared" si="633"/>
        <v>113.76</v>
      </c>
      <c r="AI248" s="124">
        <v>0.79</v>
      </c>
      <c r="AJ248" s="125">
        <f t="shared" si="663"/>
        <v>152.90322580645164</v>
      </c>
      <c r="AK248" s="125">
        <f t="shared" si="634"/>
        <v>113.76</v>
      </c>
      <c r="AL248" s="162"/>
      <c r="AN248" s="123"/>
      <c r="AO248" s="123"/>
      <c r="AP248" s="124">
        <v>0.62</v>
      </c>
      <c r="AQ248" s="125">
        <f t="shared" si="648"/>
        <v>120</v>
      </c>
      <c r="AR248" s="125">
        <f t="shared" si="635"/>
        <v>89.28</v>
      </c>
      <c r="AS248" s="124">
        <v>0.3</v>
      </c>
      <c r="AT248" s="125">
        <f t="shared" si="649"/>
        <v>58.064516129032256</v>
      </c>
      <c r="AU248" s="125">
        <f t="shared" si="636"/>
        <v>43.199999999999996</v>
      </c>
      <c r="AV248" s="124">
        <v>0.56999999999999995</v>
      </c>
      <c r="AW248" s="125">
        <f t="shared" si="650"/>
        <v>110.32258064516128</v>
      </c>
      <c r="AX248" s="125">
        <f t="shared" si="637"/>
        <v>82.08</v>
      </c>
      <c r="AY248" s="124">
        <v>0.56999999999999995</v>
      </c>
      <c r="AZ248" s="125">
        <f t="shared" si="651"/>
        <v>110.32258064516128</v>
      </c>
      <c r="BA248" s="125">
        <f t="shared" si="638"/>
        <v>82.08</v>
      </c>
      <c r="BD248" s="139">
        <f t="shared" si="652"/>
        <v>160.64516129032259</v>
      </c>
      <c r="BE248" s="139">
        <f>(L248+AR248)/2</f>
        <v>119.52</v>
      </c>
      <c r="BF248" s="139">
        <f t="shared" si="654"/>
        <v>99.677419354838705</v>
      </c>
      <c r="BG248" s="139">
        <f>(O248+AU248)/2</f>
        <v>74.16</v>
      </c>
      <c r="BH248" s="139">
        <f t="shared" si="656"/>
        <v>146.12903225806451</v>
      </c>
      <c r="BI248" s="139">
        <f t="shared" si="657"/>
        <v>108.72</v>
      </c>
      <c r="BJ248" s="139">
        <f t="shared" si="658"/>
        <v>146.12903225806451</v>
      </c>
      <c r="BK248" s="139">
        <f t="shared" si="664"/>
        <v>108.72</v>
      </c>
    </row>
    <row r="249" spans="1:63" ht="14.4">
      <c r="A249" s="126" t="s">
        <v>187</v>
      </c>
      <c r="B249" s="118">
        <v>30</v>
      </c>
      <c r="C249" s="118">
        <f t="shared" si="639"/>
        <v>720</v>
      </c>
      <c r="D249" s="122">
        <f t="shared" si="626"/>
        <v>150</v>
      </c>
      <c r="E249" s="118">
        <v>108</v>
      </c>
      <c r="H249" s="123"/>
      <c r="J249" s="124">
        <v>1.17</v>
      </c>
      <c r="K249" s="125">
        <f t="shared" si="627"/>
        <v>175.5</v>
      </c>
      <c r="L249" s="125">
        <f t="shared" si="640"/>
        <v>126.35999999999999</v>
      </c>
      <c r="M249" s="124">
        <v>0.59</v>
      </c>
      <c r="N249" s="125">
        <f t="shared" si="628"/>
        <v>88.5</v>
      </c>
      <c r="O249" s="125">
        <f t="shared" si="641"/>
        <v>63.72</v>
      </c>
      <c r="P249" s="124">
        <v>0.95</v>
      </c>
      <c r="Q249" s="125">
        <f t="shared" si="629"/>
        <v>142.5</v>
      </c>
      <c r="R249" s="125">
        <f t="shared" si="642"/>
        <v>102.6</v>
      </c>
      <c r="S249" s="124">
        <v>0.95</v>
      </c>
      <c r="T249" s="125">
        <f t="shared" si="630"/>
        <v>142.5</v>
      </c>
      <c r="U249" s="125">
        <f t="shared" si="643"/>
        <v>102.6</v>
      </c>
      <c r="X249" s="123"/>
      <c r="Y249" s="123"/>
      <c r="Z249" s="124">
        <v>1.1100000000000001</v>
      </c>
      <c r="AA249" s="125">
        <f t="shared" si="660"/>
        <v>166.50000000000003</v>
      </c>
      <c r="AB249" s="125">
        <f t="shared" si="631"/>
        <v>119.88000000000001</v>
      </c>
      <c r="AC249" s="124">
        <v>0.31</v>
      </c>
      <c r="AD249" s="125">
        <f t="shared" si="661"/>
        <v>46.5</v>
      </c>
      <c r="AE249" s="125">
        <f t="shared" si="632"/>
        <v>33.479999999999997</v>
      </c>
      <c r="AF249" s="124">
        <v>0.81</v>
      </c>
      <c r="AG249" s="125">
        <f t="shared" si="662"/>
        <v>121.50000000000001</v>
      </c>
      <c r="AH249" s="125">
        <f t="shared" si="633"/>
        <v>87.48</v>
      </c>
      <c r="AI249" s="124">
        <v>0.81</v>
      </c>
      <c r="AJ249" s="125">
        <f t="shared" si="663"/>
        <v>121.50000000000001</v>
      </c>
      <c r="AK249" s="125">
        <f t="shared" si="634"/>
        <v>87.48</v>
      </c>
      <c r="AL249" s="162"/>
      <c r="AN249" s="123"/>
      <c r="AO249" s="123"/>
      <c r="AP249" s="124">
        <v>0.85</v>
      </c>
      <c r="AQ249" s="125">
        <f t="shared" si="648"/>
        <v>127.5</v>
      </c>
      <c r="AR249" s="125">
        <f t="shared" si="635"/>
        <v>91.8</v>
      </c>
      <c r="AS249" s="124">
        <v>0.28000000000000003</v>
      </c>
      <c r="AT249" s="125">
        <f t="shared" si="649"/>
        <v>42.000000000000007</v>
      </c>
      <c r="AU249" s="125">
        <f t="shared" si="636"/>
        <v>30.240000000000002</v>
      </c>
      <c r="AV249" s="124">
        <v>0.6</v>
      </c>
      <c r="AW249" s="125">
        <f t="shared" si="650"/>
        <v>90</v>
      </c>
      <c r="AX249" s="125">
        <f t="shared" si="637"/>
        <v>64.8</v>
      </c>
      <c r="AY249" s="124">
        <v>0.6</v>
      </c>
      <c r="AZ249" s="125">
        <f t="shared" si="651"/>
        <v>90</v>
      </c>
      <c r="BA249" s="125">
        <f t="shared" si="638"/>
        <v>64.8</v>
      </c>
      <c r="BD249" s="139">
        <f t="shared" si="652"/>
        <v>151.5</v>
      </c>
      <c r="BE249" s="139">
        <f t="shared" ref="BE249:BE252" si="665">(L249+AR249)/2</f>
        <v>109.07999999999998</v>
      </c>
      <c r="BF249" s="139">
        <f t="shared" si="654"/>
        <v>65.25</v>
      </c>
      <c r="BG249" s="139">
        <f t="shared" ref="BG249:BG252" si="666">(O249+AU249)/2</f>
        <v>46.980000000000004</v>
      </c>
      <c r="BH249" s="139">
        <f t="shared" si="656"/>
        <v>116.25</v>
      </c>
      <c r="BI249" s="139">
        <f t="shared" si="657"/>
        <v>83.699999999999989</v>
      </c>
      <c r="BJ249" s="139">
        <f t="shared" si="658"/>
        <v>116.25</v>
      </c>
      <c r="BK249" s="139">
        <f>(U249+BA249)/2</f>
        <v>83.699999999999989</v>
      </c>
    </row>
    <row r="250" spans="1:63" ht="14.4">
      <c r="A250" s="126" t="s">
        <v>59</v>
      </c>
      <c r="B250" s="118">
        <v>31</v>
      </c>
      <c r="C250" s="118">
        <f t="shared" si="639"/>
        <v>744</v>
      </c>
      <c r="D250" s="122">
        <f t="shared" si="626"/>
        <v>84.677419354838705</v>
      </c>
      <c r="E250" s="118">
        <v>63</v>
      </c>
      <c r="H250" s="123"/>
      <c r="J250" s="124">
        <v>1.33</v>
      </c>
      <c r="K250" s="125">
        <f t="shared" si="627"/>
        <v>112.62096774193549</v>
      </c>
      <c r="L250" s="125">
        <f t="shared" si="640"/>
        <v>83.79</v>
      </c>
      <c r="M250" s="124">
        <v>0.45</v>
      </c>
      <c r="N250" s="125">
        <f t="shared" si="628"/>
        <v>38.104838709677416</v>
      </c>
      <c r="O250" s="125">
        <f t="shared" si="641"/>
        <v>28.35</v>
      </c>
      <c r="P250" s="124">
        <v>0.96</v>
      </c>
      <c r="Q250" s="125">
        <f t="shared" si="629"/>
        <v>81.290322580645153</v>
      </c>
      <c r="R250" s="125">
        <f t="shared" si="642"/>
        <v>60.48</v>
      </c>
      <c r="S250" s="124">
        <v>0.96</v>
      </c>
      <c r="T250" s="125">
        <f t="shared" si="630"/>
        <v>81.290322580645153</v>
      </c>
      <c r="U250" s="125">
        <f t="shared" si="643"/>
        <v>60.48</v>
      </c>
      <c r="X250" s="123"/>
      <c r="Y250" s="123"/>
      <c r="Z250" s="124">
        <v>1.4</v>
      </c>
      <c r="AA250" s="125">
        <f t="shared" si="660"/>
        <v>118.54838709677418</v>
      </c>
      <c r="AB250" s="125">
        <f t="shared" si="631"/>
        <v>88.199999999999989</v>
      </c>
      <c r="AC250" s="124">
        <v>0.34</v>
      </c>
      <c r="AD250" s="125">
        <f t="shared" si="661"/>
        <v>28.79032258064516</v>
      </c>
      <c r="AE250" s="125">
        <f t="shared" si="632"/>
        <v>21.42</v>
      </c>
      <c r="AF250" s="124">
        <v>0.84</v>
      </c>
      <c r="AG250" s="125">
        <f t="shared" si="662"/>
        <v>71.129032258064512</v>
      </c>
      <c r="AH250" s="125">
        <f t="shared" si="633"/>
        <v>52.919999999999995</v>
      </c>
      <c r="AI250" s="124">
        <v>0.84</v>
      </c>
      <c r="AJ250" s="125">
        <f t="shared" si="663"/>
        <v>71.129032258064512</v>
      </c>
      <c r="AK250" s="125">
        <f t="shared" si="634"/>
        <v>52.919999999999995</v>
      </c>
      <c r="AL250" s="162"/>
      <c r="AN250" s="123"/>
      <c r="AO250" s="123"/>
      <c r="AP250" s="124">
        <v>1.19</v>
      </c>
      <c r="AQ250" s="125">
        <f t="shared" si="648"/>
        <v>100.76612903225805</v>
      </c>
      <c r="AR250" s="125">
        <f t="shared" si="635"/>
        <v>74.97</v>
      </c>
      <c r="AS250" s="124">
        <v>0.3</v>
      </c>
      <c r="AT250" s="125">
        <f t="shared" si="649"/>
        <v>25.403225806451612</v>
      </c>
      <c r="AU250" s="125">
        <f t="shared" si="636"/>
        <v>18.899999999999999</v>
      </c>
      <c r="AV250" s="124">
        <v>0.63</v>
      </c>
      <c r="AW250" s="125">
        <f t="shared" si="650"/>
        <v>53.346774193548384</v>
      </c>
      <c r="AX250" s="125">
        <f t="shared" si="637"/>
        <v>39.69</v>
      </c>
      <c r="AY250" s="124">
        <v>0.63</v>
      </c>
      <c r="AZ250" s="125">
        <f t="shared" si="651"/>
        <v>53.346774193548384</v>
      </c>
      <c r="BA250" s="125">
        <f t="shared" si="638"/>
        <v>39.69</v>
      </c>
      <c r="BD250" s="139">
        <f t="shared" si="652"/>
        <v>106.69354838709677</v>
      </c>
      <c r="BE250" s="139">
        <f t="shared" si="665"/>
        <v>79.38</v>
      </c>
      <c r="BF250" s="139">
        <f t="shared" si="654"/>
        <v>31.754032258064512</v>
      </c>
      <c r="BG250" s="139">
        <f t="shared" si="666"/>
        <v>23.625</v>
      </c>
      <c r="BH250" s="139">
        <f t="shared" si="656"/>
        <v>67.318548387096769</v>
      </c>
      <c r="BI250" s="139">
        <f t="shared" si="657"/>
        <v>50.084999999999994</v>
      </c>
      <c r="BJ250" s="139">
        <f t="shared" si="658"/>
        <v>67.318548387096769</v>
      </c>
      <c r="BK250" s="139">
        <f t="shared" ref="BK250:BK252" si="667">(U250+BA250)/2</f>
        <v>50.084999999999994</v>
      </c>
    </row>
    <row r="251" spans="1:63" ht="14.4">
      <c r="A251" s="126" t="s">
        <v>60</v>
      </c>
      <c r="B251" s="118">
        <v>30</v>
      </c>
      <c r="C251" s="118">
        <f t="shared" si="639"/>
        <v>720</v>
      </c>
      <c r="D251" s="122">
        <f t="shared" si="626"/>
        <v>40.277777777777779</v>
      </c>
      <c r="E251" s="118">
        <v>29</v>
      </c>
      <c r="H251" s="123"/>
      <c r="J251" s="124">
        <v>1.52</v>
      </c>
      <c r="K251" s="125">
        <f t="shared" si="627"/>
        <v>61.222222222222221</v>
      </c>
      <c r="L251" s="125">
        <f t="shared" si="640"/>
        <v>44.08</v>
      </c>
      <c r="M251" s="124">
        <v>0.47</v>
      </c>
      <c r="N251" s="125">
        <f t="shared" si="628"/>
        <v>18.930555555555554</v>
      </c>
      <c r="O251" s="125">
        <f t="shared" si="641"/>
        <v>13.629999999999999</v>
      </c>
      <c r="P251" s="124">
        <v>0.97</v>
      </c>
      <c r="Q251" s="125">
        <f t="shared" si="629"/>
        <v>39.069444444444443</v>
      </c>
      <c r="R251" s="125">
        <f t="shared" si="642"/>
        <v>28.13</v>
      </c>
      <c r="S251" s="124">
        <v>0.97</v>
      </c>
      <c r="T251" s="125">
        <f t="shared" si="630"/>
        <v>39.069444444444443</v>
      </c>
      <c r="U251" s="125">
        <f t="shared" si="643"/>
        <v>28.13</v>
      </c>
      <c r="X251" s="123"/>
      <c r="Y251" s="123"/>
      <c r="Z251" s="124">
        <v>1.75</v>
      </c>
      <c r="AA251" s="125">
        <f t="shared" si="660"/>
        <v>70.486111111111114</v>
      </c>
      <c r="AB251" s="125">
        <f t="shared" si="631"/>
        <v>50.75</v>
      </c>
      <c r="AC251" s="124">
        <v>0.4</v>
      </c>
      <c r="AD251" s="125">
        <f t="shared" si="661"/>
        <v>16.111111111111111</v>
      </c>
      <c r="AE251" s="125">
        <f t="shared" si="632"/>
        <v>11.600000000000001</v>
      </c>
      <c r="AF251" s="124">
        <v>0.86</v>
      </c>
      <c r="AG251" s="125">
        <f t="shared" si="662"/>
        <v>34.638888888888886</v>
      </c>
      <c r="AH251" s="125">
        <f t="shared" si="633"/>
        <v>24.94</v>
      </c>
      <c r="AI251" s="124">
        <v>0.86</v>
      </c>
      <c r="AJ251" s="125">
        <f t="shared" si="663"/>
        <v>34.638888888888886</v>
      </c>
      <c r="AK251" s="125">
        <f t="shared" si="634"/>
        <v>24.94</v>
      </c>
      <c r="AL251" s="162"/>
      <c r="AN251" s="123"/>
      <c r="AO251" s="123"/>
      <c r="AP251" s="124">
        <v>1.62</v>
      </c>
      <c r="AQ251" s="125">
        <f t="shared" si="648"/>
        <v>65.25</v>
      </c>
      <c r="AR251" s="125">
        <f t="shared" si="635"/>
        <v>46.980000000000004</v>
      </c>
      <c r="AS251" s="124">
        <v>0.37</v>
      </c>
      <c r="AT251" s="125">
        <f t="shared" si="649"/>
        <v>14.902777777777779</v>
      </c>
      <c r="AU251" s="125">
        <f t="shared" si="636"/>
        <v>10.73</v>
      </c>
      <c r="AV251" s="124">
        <v>0.65</v>
      </c>
      <c r="AW251" s="125">
        <f t="shared" si="650"/>
        <v>26.180555555555557</v>
      </c>
      <c r="AX251" s="125">
        <f t="shared" si="637"/>
        <v>18.850000000000001</v>
      </c>
      <c r="AY251" s="124">
        <v>0.65</v>
      </c>
      <c r="AZ251" s="125">
        <f t="shared" si="651"/>
        <v>26.180555555555557</v>
      </c>
      <c r="BA251" s="125">
        <f t="shared" si="638"/>
        <v>18.850000000000001</v>
      </c>
      <c r="BD251" s="139">
        <f t="shared" si="652"/>
        <v>63.236111111111114</v>
      </c>
      <c r="BE251" s="139">
        <f t="shared" si="665"/>
        <v>45.53</v>
      </c>
      <c r="BF251" s="139">
        <f t="shared" si="654"/>
        <v>16.916666666666664</v>
      </c>
      <c r="BG251" s="139">
        <f t="shared" si="666"/>
        <v>12.18</v>
      </c>
      <c r="BH251" s="139">
        <f t="shared" si="656"/>
        <v>32.625</v>
      </c>
      <c r="BI251" s="139">
        <f t="shared" si="657"/>
        <v>23.490000000000002</v>
      </c>
      <c r="BJ251" s="139">
        <f t="shared" si="658"/>
        <v>32.625</v>
      </c>
      <c r="BK251" s="139">
        <f t="shared" si="667"/>
        <v>23.490000000000002</v>
      </c>
    </row>
    <row r="252" spans="1:63" ht="15" thickBot="1">
      <c r="A252" s="127" t="s">
        <v>61</v>
      </c>
      <c r="B252" s="118">
        <v>31</v>
      </c>
      <c r="C252" s="118">
        <f t="shared" si="639"/>
        <v>744</v>
      </c>
      <c r="D252" s="122">
        <f t="shared" si="626"/>
        <v>26.881720430107528</v>
      </c>
      <c r="E252" s="118">
        <v>20</v>
      </c>
      <c r="H252" s="123"/>
      <c r="J252" s="124">
        <v>1.76</v>
      </c>
      <c r="K252" s="125">
        <f t="shared" si="627"/>
        <v>47.311827956989248</v>
      </c>
      <c r="L252" s="125">
        <f t="shared" si="640"/>
        <v>35.200000000000003</v>
      </c>
      <c r="M252" s="124">
        <v>0.48</v>
      </c>
      <c r="N252" s="125">
        <f t="shared" si="628"/>
        <v>12.903225806451612</v>
      </c>
      <c r="O252" s="125">
        <f t="shared" si="641"/>
        <v>9.6</v>
      </c>
      <c r="P252" s="124">
        <v>0.99</v>
      </c>
      <c r="Q252" s="125">
        <f t="shared" si="629"/>
        <v>26.612903225806452</v>
      </c>
      <c r="R252" s="125">
        <f t="shared" si="642"/>
        <v>19.8</v>
      </c>
      <c r="S252" s="124">
        <v>0.99</v>
      </c>
      <c r="T252" s="125">
        <f t="shared" si="630"/>
        <v>26.612903225806452</v>
      </c>
      <c r="U252" s="125">
        <f t="shared" si="643"/>
        <v>19.8</v>
      </c>
      <c r="X252" s="123"/>
      <c r="Y252" s="123"/>
      <c r="Z252" s="124">
        <v>2.15</v>
      </c>
      <c r="AA252" s="125">
        <f t="shared" si="660"/>
        <v>57.795698924731184</v>
      </c>
      <c r="AB252" s="125">
        <f t="shared" si="631"/>
        <v>43</v>
      </c>
      <c r="AC252" s="124">
        <v>0.46</v>
      </c>
      <c r="AD252" s="125">
        <f t="shared" si="661"/>
        <v>12.365591397849464</v>
      </c>
      <c r="AE252" s="125">
        <f t="shared" si="632"/>
        <v>9.2000000000000011</v>
      </c>
      <c r="AF252" s="124">
        <v>0.9</v>
      </c>
      <c r="AG252" s="125">
        <f t="shared" si="662"/>
        <v>24.193548387096776</v>
      </c>
      <c r="AH252" s="125">
        <f t="shared" si="633"/>
        <v>18</v>
      </c>
      <c r="AI252" s="124">
        <v>0.9</v>
      </c>
      <c r="AJ252" s="125">
        <f t="shared" si="663"/>
        <v>24.193548387096776</v>
      </c>
      <c r="AK252" s="125">
        <f t="shared" si="634"/>
        <v>18</v>
      </c>
      <c r="AL252" s="162"/>
      <c r="AN252" s="123"/>
      <c r="AO252" s="123"/>
      <c r="AP252" s="124">
        <v>2.19</v>
      </c>
      <c r="AQ252" s="125">
        <f t="shared" si="648"/>
        <v>58.870967741935488</v>
      </c>
      <c r="AR252" s="125">
        <f t="shared" si="635"/>
        <v>43.8</v>
      </c>
      <c r="AS252" s="124">
        <v>0.46</v>
      </c>
      <c r="AT252" s="125">
        <f t="shared" si="649"/>
        <v>12.365591397849464</v>
      </c>
      <c r="AU252" s="125">
        <f t="shared" si="636"/>
        <v>9.2000000000000011</v>
      </c>
      <c r="AV252" s="124">
        <v>0.77</v>
      </c>
      <c r="AW252" s="125">
        <f t="shared" si="650"/>
        <v>20.698924731182796</v>
      </c>
      <c r="AX252" s="125">
        <f t="shared" si="637"/>
        <v>15.4</v>
      </c>
      <c r="AY252" s="124">
        <v>0.77</v>
      </c>
      <c r="AZ252" s="125">
        <f t="shared" si="651"/>
        <v>20.698924731182796</v>
      </c>
      <c r="BA252" s="125">
        <f t="shared" si="638"/>
        <v>15.4</v>
      </c>
      <c r="BD252" s="139">
        <f t="shared" si="652"/>
        <v>53.091397849462368</v>
      </c>
      <c r="BE252" s="139">
        <f t="shared" si="665"/>
        <v>39.5</v>
      </c>
      <c r="BF252" s="139">
        <f t="shared" si="654"/>
        <v>12.634408602150538</v>
      </c>
      <c r="BG252" s="139">
        <f t="shared" si="666"/>
        <v>9.4</v>
      </c>
      <c r="BH252" s="139">
        <f t="shared" si="656"/>
        <v>23.655913978494624</v>
      </c>
      <c r="BI252" s="139">
        <f t="shared" si="657"/>
        <v>17.600000000000001</v>
      </c>
      <c r="BJ252" s="139">
        <f t="shared" si="658"/>
        <v>23.655913978494624</v>
      </c>
      <c r="BK252" s="139">
        <f t="shared" si="667"/>
        <v>17.600000000000001</v>
      </c>
    </row>
    <row r="254" spans="1:63">
      <c r="A254" s="128" t="s">
        <v>201</v>
      </c>
      <c r="B254" s="120" t="s">
        <v>172</v>
      </c>
      <c r="C254" s="120" t="s">
        <v>173</v>
      </c>
      <c r="E254" s="120" t="s">
        <v>174</v>
      </c>
      <c r="F254" s="120"/>
      <c r="G254" s="120"/>
      <c r="J254" s="305" t="s">
        <v>177</v>
      </c>
      <c r="K254" s="306"/>
      <c r="L254" s="307"/>
      <c r="M254" s="305" t="s">
        <v>178</v>
      </c>
      <c r="N254" s="306"/>
      <c r="O254" s="307"/>
      <c r="P254" s="305" t="s">
        <v>179</v>
      </c>
      <c r="Q254" s="306"/>
      <c r="R254" s="306"/>
      <c r="S254" s="308" t="s">
        <v>180</v>
      </c>
      <c r="T254" s="308"/>
      <c r="U254" s="308"/>
      <c r="Z254" s="305" t="s">
        <v>177</v>
      </c>
      <c r="AA254" s="306"/>
      <c r="AB254" s="307"/>
      <c r="AC254" s="305" t="s">
        <v>178</v>
      </c>
      <c r="AD254" s="306"/>
      <c r="AE254" s="307"/>
      <c r="AF254" s="305" t="s">
        <v>179</v>
      </c>
      <c r="AG254" s="306"/>
      <c r="AH254" s="306"/>
      <c r="AI254" s="308" t="s">
        <v>180</v>
      </c>
      <c r="AJ254" s="308"/>
      <c r="AK254" s="308"/>
      <c r="AL254" s="128"/>
      <c r="AP254" s="305" t="s">
        <v>177</v>
      </c>
      <c r="AQ254" s="306"/>
      <c r="AR254" s="307"/>
      <c r="AS254" s="305" t="s">
        <v>178</v>
      </c>
      <c r="AT254" s="306"/>
      <c r="AU254" s="307"/>
      <c r="AV254" s="305" t="s">
        <v>179</v>
      </c>
      <c r="AW254" s="306"/>
      <c r="AX254" s="306"/>
      <c r="AY254" s="308" t="s">
        <v>180</v>
      </c>
      <c r="AZ254" s="308"/>
      <c r="BA254" s="308"/>
      <c r="BD254" s="310" t="s">
        <v>177</v>
      </c>
      <c r="BE254" s="311"/>
      <c r="BF254" s="310" t="s">
        <v>178</v>
      </c>
      <c r="BG254" s="311"/>
      <c r="BH254" s="310" t="s">
        <v>181</v>
      </c>
      <c r="BI254" s="311"/>
      <c r="BJ254" s="308" t="s">
        <v>180</v>
      </c>
      <c r="BK254" s="308"/>
    </row>
    <row r="255" spans="1:63" ht="13.8" thickBot="1">
      <c r="D255" s="118" t="s">
        <v>176</v>
      </c>
      <c r="E255" s="118" t="s">
        <v>175</v>
      </c>
      <c r="J255" s="117" t="s">
        <v>205</v>
      </c>
      <c r="K255" s="117" t="s">
        <v>176</v>
      </c>
      <c r="L255" s="117" t="s">
        <v>175</v>
      </c>
      <c r="M255" s="117" t="s">
        <v>205</v>
      </c>
      <c r="N255" s="117" t="s">
        <v>176</v>
      </c>
      <c r="O255" s="117" t="s">
        <v>175</v>
      </c>
      <c r="P255" s="117" t="s">
        <v>205</v>
      </c>
      <c r="Q255" s="117" t="s">
        <v>176</v>
      </c>
      <c r="R255" s="117" t="s">
        <v>175</v>
      </c>
      <c r="S255" s="137" t="s">
        <v>205</v>
      </c>
      <c r="T255" s="137" t="s">
        <v>176</v>
      </c>
      <c r="U255" s="137" t="s">
        <v>175</v>
      </c>
      <c r="Z255" s="117" t="s">
        <v>205</v>
      </c>
      <c r="AA255" s="117" t="s">
        <v>176</v>
      </c>
      <c r="AB255" s="117" t="s">
        <v>175</v>
      </c>
      <c r="AC255" s="117" t="s">
        <v>205</v>
      </c>
      <c r="AD255" s="117" t="s">
        <v>176</v>
      </c>
      <c r="AE255" s="117" t="s">
        <v>175</v>
      </c>
      <c r="AF255" s="117" t="s">
        <v>205</v>
      </c>
      <c r="AG255" s="117" t="s">
        <v>176</v>
      </c>
      <c r="AH255" s="117" t="s">
        <v>175</v>
      </c>
      <c r="AI255" s="137" t="s">
        <v>205</v>
      </c>
      <c r="AJ255" s="137" t="s">
        <v>176</v>
      </c>
      <c r="AK255" s="137" t="s">
        <v>175</v>
      </c>
      <c r="AP255" s="117" t="s">
        <v>205</v>
      </c>
      <c r="AQ255" s="117" t="s">
        <v>176</v>
      </c>
      <c r="AR255" s="117" t="s">
        <v>175</v>
      </c>
      <c r="AS255" s="117" t="s">
        <v>205</v>
      </c>
      <c r="AT255" s="117" t="s">
        <v>176</v>
      </c>
      <c r="AU255" s="117" t="s">
        <v>175</v>
      </c>
      <c r="AV255" s="117" t="s">
        <v>205</v>
      </c>
      <c r="AW255" s="117" t="s">
        <v>176</v>
      </c>
      <c r="AX255" s="117" t="s">
        <v>175</v>
      </c>
      <c r="AY255" s="137" t="s">
        <v>205</v>
      </c>
      <c r="AZ255" s="137" t="s">
        <v>176</v>
      </c>
      <c r="BA255" s="137" t="s">
        <v>175</v>
      </c>
      <c r="BD255" s="137" t="s">
        <v>176</v>
      </c>
      <c r="BE255" s="137" t="s">
        <v>175</v>
      </c>
      <c r="BF255" s="137" t="s">
        <v>176</v>
      </c>
      <c r="BG255" s="137" t="s">
        <v>175</v>
      </c>
      <c r="BH255" s="137" t="s">
        <v>176</v>
      </c>
      <c r="BI255" s="137" t="s">
        <v>175</v>
      </c>
      <c r="BJ255" s="137" t="s">
        <v>176</v>
      </c>
      <c r="BK255" s="137" t="s">
        <v>175</v>
      </c>
    </row>
    <row r="256" spans="1:63" ht="14.4">
      <c r="A256" s="121" t="s">
        <v>55</v>
      </c>
      <c r="B256" s="118">
        <v>31</v>
      </c>
      <c r="C256" s="118">
        <f>B256*24</f>
        <v>744</v>
      </c>
      <c r="D256" s="122">
        <f t="shared" ref="D256:D267" si="668">E256*1000/C256</f>
        <v>32.258064516129032</v>
      </c>
      <c r="E256" s="118">
        <v>24</v>
      </c>
      <c r="H256" s="123"/>
      <c r="J256" s="124">
        <v>1.61</v>
      </c>
      <c r="K256" s="125">
        <f t="shared" ref="K256:K267" si="669">J256*D256</f>
        <v>51.935483870967744</v>
      </c>
      <c r="L256" s="125">
        <f>$E256*J256</f>
        <v>38.64</v>
      </c>
      <c r="M256" s="124">
        <v>0.52</v>
      </c>
      <c r="N256" s="125">
        <f t="shared" ref="N256:N267" si="670">M256*D256</f>
        <v>16.774193548387096</v>
      </c>
      <c r="O256" s="125">
        <f>$E256*M256</f>
        <v>12.48</v>
      </c>
      <c r="P256" s="124">
        <v>1</v>
      </c>
      <c r="Q256" s="125">
        <f t="shared" ref="Q256:Q267" si="671">P256*D256</f>
        <v>32.258064516129032</v>
      </c>
      <c r="R256" s="125">
        <f>$E256*P256</f>
        <v>24</v>
      </c>
      <c r="S256" s="124">
        <v>1</v>
      </c>
      <c r="T256" s="125">
        <f t="shared" ref="T256:T267" si="672">S256*D256</f>
        <v>32.258064516129032</v>
      </c>
      <c r="U256" s="125">
        <f>$E256*S256</f>
        <v>24</v>
      </c>
      <c r="X256" s="123"/>
      <c r="Y256" s="123"/>
      <c r="Z256" s="124">
        <v>1.94</v>
      </c>
      <c r="AA256" s="125">
        <f>Z256*$D256</f>
        <v>62.58064516129032</v>
      </c>
      <c r="AB256" s="125">
        <f t="shared" ref="AB256:AB267" si="673">$E256*Z256</f>
        <v>46.56</v>
      </c>
      <c r="AC256" s="124">
        <v>0.51</v>
      </c>
      <c r="AD256" s="125">
        <f>AC256*$D256</f>
        <v>16.451612903225808</v>
      </c>
      <c r="AE256" s="125">
        <f t="shared" ref="AE256:AE267" si="674">$E256*AC256</f>
        <v>12.24</v>
      </c>
      <c r="AF256" s="124">
        <v>0.95</v>
      </c>
      <c r="AG256" s="125">
        <f>AF256*$D256</f>
        <v>30.64516129032258</v>
      </c>
      <c r="AH256" s="125">
        <f t="shared" ref="AH256:AH267" si="675">$E256*AF256</f>
        <v>22.799999999999997</v>
      </c>
      <c r="AI256" s="124">
        <v>0.95</v>
      </c>
      <c r="AJ256" s="125">
        <f>AI256*$D256</f>
        <v>30.64516129032258</v>
      </c>
      <c r="AK256" s="125">
        <f t="shared" ref="AK256:AK267" si="676">$E256*AI256</f>
        <v>22.799999999999997</v>
      </c>
      <c r="AL256" s="162"/>
      <c r="AN256" s="123"/>
      <c r="AO256" s="123"/>
      <c r="AP256" s="124">
        <v>1.92</v>
      </c>
      <c r="AQ256" s="125">
        <f>AP256*$D256</f>
        <v>61.935483870967737</v>
      </c>
      <c r="AR256" s="125">
        <f t="shared" ref="AR256:AR267" si="677">$E256*AP256</f>
        <v>46.08</v>
      </c>
      <c r="AS256" s="124">
        <v>0.55000000000000004</v>
      </c>
      <c r="AT256" s="125">
        <f>AS256*$D256</f>
        <v>17.741935483870968</v>
      </c>
      <c r="AU256" s="125">
        <f t="shared" ref="AU256:AU267" si="678">$E256*AS256</f>
        <v>13.200000000000001</v>
      </c>
      <c r="AV256" s="124">
        <v>0.85</v>
      </c>
      <c r="AW256" s="125">
        <f>AV256*$D256</f>
        <v>27.419354838709676</v>
      </c>
      <c r="AX256" s="125">
        <f t="shared" ref="AX256:AX267" si="679">$E256*AV256</f>
        <v>20.399999999999999</v>
      </c>
      <c r="AY256" s="124">
        <v>0.85</v>
      </c>
      <c r="AZ256" s="125">
        <f>AY256*$D256</f>
        <v>27.419354838709676</v>
      </c>
      <c r="BA256" s="125">
        <f t="shared" ref="BA256:BA267" si="680">$E256*AY256</f>
        <v>20.399999999999999</v>
      </c>
      <c r="BD256" s="139">
        <f>(K256+AQ256)/2</f>
        <v>56.935483870967744</v>
      </c>
      <c r="BE256" s="139">
        <f>(L256+AR256)/2</f>
        <v>42.36</v>
      </c>
      <c r="BF256" s="139">
        <f>(N256+AT256)/2</f>
        <v>17.258064516129032</v>
      </c>
      <c r="BG256" s="139">
        <f>(O256+AU256)/2</f>
        <v>12.84</v>
      </c>
      <c r="BH256" s="139">
        <f>(Q256+AW256)/2</f>
        <v>29.838709677419352</v>
      </c>
      <c r="BI256" s="139">
        <f>(R256+AX256)/2</f>
        <v>22.2</v>
      </c>
      <c r="BJ256" s="139">
        <f>(T256+AZ256)/2</f>
        <v>29.838709677419352</v>
      </c>
      <c r="BK256" s="139">
        <f>(U256+BA256)/2</f>
        <v>22.2</v>
      </c>
    </row>
    <row r="257" spans="1:63" ht="14.4">
      <c r="A257" s="126" t="s">
        <v>56</v>
      </c>
      <c r="B257" s="118">
        <v>28</v>
      </c>
      <c r="C257" s="118">
        <f t="shared" ref="C257:C267" si="681">B257*24</f>
        <v>672</v>
      </c>
      <c r="D257" s="122">
        <f t="shared" si="668"/>
        <v>71.428571428571431</v>
      </c>
      <c r="E257" s="118">
        <v>48</v>
      </c>
      <c r="H257" s="123"/>
      <c r="J257" s="124">
        <v>1.45</v>
      </c>
      <c r="K257" s="125">
        <f t="shared" si="669"/>
        <v>103.57142857142857</v>
      </c>
      <c r="L257" s="125">
        <f t="shared" ref="L257:L267" si="682">$E257*J257</f>
        <v>69.599999999999994</v>
      </c>
      <c r="M257" s="124">
        <v>0.45</v>
      </c>
      <c r="N257" s="125">
        <f t="shared" si="670"/>
        <v>32.142857142857146</v>
      </c>
      <c r="O257" s="125">
        <f t="shared" ref="O257:O267" si="683">$E257*M257</f>
        <v>21.6</v>
      </c>
      <c r="P257" s="124">
        <v>0.98</v>
      </c>
      <c r="Q257" s="125">
        <f t="shared" si="671"/>
        <v>70</v>
      </c>
      <c r="R257" s="125">
        <f t="shared" ref="R257:R267" si="684">$E257*P257</f>
        <v>47.04</v>
      </c>
      <c r="S257" s="124">
        <v>0.98</v>
      </c>
      <c r="T257" s="125">
        <f t="shared" si="672"/>
        <v>70</v>
      </c>
      <c r="U257" s="125">
        <f t="shared" ref="U257:U267" si="685">$E257*S257</f>
        <v>47.04</v>
      </c>
      <c r="X257" s="123"/>
      <c r="Y257" s="123"/>
      <c r="Z257" s="124">
        <v>1.64</v>
      </c>
      <c r="AA257" s="125">
        <f t="shared" ref="AA257:AA258" si="686">Z257*$D257</f>
        <v>117.14285714285714</v>
      </c>
      <c r="AB257" s="125">
        <f t="shared" si="673"/>
        <v>78.72</v>
      </c>
      <c r="AC257" s="124">
        <v>0.44</v>
      </c>
      <c r="AD257" s="125">
        <f t="shared" ref="AD257:AD258" si="687">AC257*$D257</f>
        <v>31.428571428571431</v>
      </c>
      <c r="AE257" s="125">
        <f t="shared" si="674"/>
        <v>21.12</v>
      </c>
      <c r="AF257" s="124">
        <v>0.92</v>
      </c>
      <c r="AG257" s="125">
        <f t="shared" ref="AG257:AG258" si="688">AF257*$D257</f>
        <v>65.714285714285722</v>
      </c>
      <c r="AH257" s="125">
        <f t="shared" si="675"/>
        <v>44.160000000000004</v>
      </c>
      <c r="AI257" s="124">
        <v>0.92</v>
      </c>
      <c r="AJ257" s="125">
        <f t="shared" ref="AJ257:AJ258" si="689">AI257*$D257</f>
        <v>65.714285714285722</v>
      </c>
      <c r="AK257" s="125">
        <f t="shared" si="676"/>
        <v>44.160000000000004</v>
      </c>
      <c r="AL257" s="162"/>
      <c r="AN257" s="123"/>
      <c r="AO257" s="123"/>
      <c r="AP257" s="124">
        <v>1.54</v>
      </c>
      <c r="AQ257" s="125">
        <f t="shared" ref="AQ257:AQ267" si="690">AP257*$D257</f>
        <v>110</v>
      </c>
      <c r="AR257" s="125">
        <f t="shared" si="677"/>
        <v>73.92</v>
      </c>
      <c r="AS257" s="124">
        <v>0.47</v>
      </c>
      <c r="AT257" s="125">
        <f t="shared" ref="AT257:AT267" si="691">AS257*$D257</f>
        <v>33.571428571428569</v>
      </c>
      <c r="AU257" s="125">
        <f t="shared" si="678"/>
        <v>22.56</v>
      </c>
      <c r="AV257" s="124">
        <v>0.8</v>
      </c>
      <c r="AW257" s="125">
        <f t="shared" ref="AW257:AW267" si="692">AV257*$D257</f>
        <v>57.142857142857146</v>
      </c>
      <c r="AX257" s="125">
        <f t="shared" si="679"/>
        <v>38.400000000000006</v>
      </c>
      <c r="AY257" s="124">
        <v>0.8</v>
      </c>
      <c r="AZ257" s="125">
        <f t="shared" ref="AZ257:AZ267" si="693">AY257*$D257</f>
        <v>57.142857142857146</v>
      </c>
      <c r="BA257" s="125">
        <f t="shared" si="680"/>
        <v>38.400000000000006</v>
      </c>
      <c r="BD257" s="139">
        <f t="shared" ref="BD257:BD267" si="694">(K257+AQ257)/2</f>
        <v>106.78571428571428</v>
      </c>
      <c r="BE257" s="139">
        <f t="shared" ref="BE257:BE262" si="695">(L257+AR257)/2</f>
        <v>71.759999999999991</v>
      </c>
      <c r="BF257" s="139">
        <f t="shared" ref="BF257:BF267" si="696">(N257+AT257)/2</f>
        <v>32.857142857142861</v>
      </c>
      <c r="BG257" s="139">
        <f t="shared" ref="BG257:BG262" si="697">(O257+AU257)/2</f>
        <v>22.08</v>
      </c>
      <c r="BH257" s="139">
        <f t="shared" ref="BH257:BH267" si="698">(Q257+AW257)/2</f>
        <v>63.571428571428569</v>
      </c>
      <c r="BI257" s="139">
        <f t="shared" ref="BI257:BI267" si="699">(R257+AX257)/2</f>
        <v>42.72</v>
      </c>
      <c r="BJ257" s="139">
        <f t="shared" ref="BJ257:BJ267" si="700">(T257+AZ257)/2</f>
        <v>63.571428571428569</v>
      </c>
      <c r="BK257" s="139">
        <f t="shared" ref="BK257:BK260" si="701">(U257+BA257)/2</f>
        <v>42.72</v>
      </c>
    </row>
    <row r="258" spans="1:63" ht="14.4">
      <c r="A258" s="126" t="s">
        <v>57</v>
      </c>
      <c r="B258" s="118">
        <v>31</v>
      </c>
      <c r="C258" s="118">
        <f t="shared" si="681"/>
        <v>744</v>
      </c>
      <c r="D258" s="122">
        <f t="shared" si="668"/>
        <v>112.90322580645162</v>
      </c>
      <c r="E258" s="118">
        <v>84</v>
      </c>
      <c r="H258" s="123"/>
      <c r="J258" s="124">
        <v>1.25</v>
      </c>
      <c r="K258" s="125">
        <f t="shared" si="669"/>
        <v>141.12903225806451</v>
      </c>
      <c r="L258" s="125">
        <f t="shared" si="682"/>
        <v>105</v>
      </c>
      <c r="M258" s="124">
        <v>0.52</v>
      </c>
      <c r="N258" s="125">
        <f t="shared" si="670"/>
        <v>58.70967741935484</v>
      </c>
      <c r="O258" s="125">
        <f t="shared" si="683"/>
        <v>43.68</v>
      </c>
      <c r="P258" s="124">
        <v>0.96</v>
      </c>
      <c r="Q258" s="125">
        <f t="shared" si="671"/>
        <v>108.38709677419355</v>
      </c>
      <c r="R258" s="125">
        <f t="shared" si="684"/>
        <v>80.64</v>
      </c>
      <c r="S258" s="124">
        <v>0.96</v>
      </c>
      <c r="T258" s="125">
        <f t="shared" si="672"/>
        <v>108.38709677419355</v>
      </c>
      <c r="U258" s="125">
        <f t="shared" si="685"/>
        <v>80.64</v>
      </c>
      <c r="X258" s="123"/>
      <c r="Y258" s="123"/>
      <c r="Z258" s="124">
        <v>1.28</v>
      </c>
      <c r="AA258" s="125">
        <f t="shared" si="686"/>
        <v>144.51612903225808</v>
      </c>
      <c r="AB258" s="125">
        <f t="shared" si="673"/>
        <v>107.52</v>
      </c>
      <c r="AC258" s="124">
        <v>0.35</v>
      </c>
      <c r="AD258" s="125">
        <f t="shared" si="687"/>
        <v>39.516129032258064</v>
      </c>
      <c r="AE258" s="125">
        <f t="shared" si="674"/>
        <v>29.4</v>
      </c>
      <c r="AF258" s="124">
        <v>0.85</v>
      </c>
      <c r="AG258" s="125">
        <f t="shared" si="688"/>
        <v>95.967741935483872</v>
      </c>
      <c r="AH258" s="125">
        <f t="shared" si="675"/>
        <v>71.399999999999991</v>
      </c>
      <c r="AI258" s="124">
        <v>0.85</v>
      </c>
      <c r="AJ258" s="125">
        <f t="shared" si="689"/>
        <v>95.967741935483872</v>
      </c>
      <c r="AK258" s="125">
        <f t="shared" si="676"/>
        <v>71.399999999999991</v>
      </c>
      <c r="AL258" s="162"/>
      <c r="AN258" s="123"/>
      <c r="AO258" s="123"/>
      <c r="AP258" s="124">
        <v>1.06</v>
      </c>
      <c r="AQ258" s="125">
        <f t="shared" si="690"/>
        <v>119.67741935483872</v>
      </c>
      <c r="AR258" s="125">
        <f t="shared" si="677"/>
        <v>89.04</v>
      </c>
      <c r="AS258" s="124">
        <v>0.34</v>
      </c>
      <c r="AT258" s="125">
        <f t="shared" si="691"/>
        <v>38.387096774193552</v>
      </c>
      <c r="AU258" s="125">
        <f t="shared" si="678"/>
        <v>28.560000000000002</v>
      </c>
      <c r="AV258" s="124">
        <v>0.67</v>
      </c>
      <c r="AW258" s="125">
        <f t="shared" si="692"/>
        <v>75.645161290322591</v>
      </c>
      <c r="AX258" s="125">
        <f t="shared" si="679"/>
        <v>56.28</v>
      </c>
      <c r="AY258" s="124">
        <v>0.67</v>
      </c>
      <c r="AZ258" s="125">
        <f t="shared" si="693"/>
        <v>75.645161290322591</v>
      </c>
      <c r="BA258" s="125">
        <f t="shared" si="680"/>
        <v>56.28</v>
      </c>
      <c r="BD258" s="139">
        <f t="shared" si="694"/>
        <v>130.40322580645162</v>
      </c>
      <c r="BE258" s="139">
        <f t="shared" si="695"/>
        <v>97.02000000000001</v>
      </c>
      <c r="BF258" s="139">
        <f t="shared" si="696"/>
        <v>48.548387096774192</v>
      </c>
      <c r="BG258" s="139">
        <f t="shared" si="697"/>
        <v>36.120000000000005</v>
      </c>
      <c r="BH258" s="139">
        <f t="shared" si="698"/>
        <v>92.016129032258078</v>
      </c>
      <c r="BI258" s="139">
        <f t="shared" si="699"/>
        <v>68.460000000000008</v>
      </c>
      <c r="BJ258" s="139">
        <f t="shared" si="700"/>
        <v>92.016129032258078</v>
      </c>
      <c r="BK258" s="139">
        <f t="shared" si="701"/>
        <v>68.460000000000008</v>
      </c>
    </row>
    <row r="259" spans="1:63" ht="14.4">
      <c r="A259" s="126" t="s">
        <v>58</v>
      </c>
      <c r="B259" s="118">
        <v>30</v>
      </c>
      <c r="C259" s="118">
        <f t="shared" si="681"/>
        <v>720</v>
      </c>
      <c r="D259" s="122">
        <f t="shared" si="668"/>
        <v>179.16666666666666</v>
      </c>
      <c r="E259" s="118">
        <v>129</v>
      </c>
      <c r="H259" s="123"/>
      <c r="J259" s="124">
        <v>1.0900000000000001</v>
      </c>
      <c r="K259" s="125">
        <f t="shared" si="669"/>
        <v>195.29166666666666</v>
      </c>
      <c r="L259" s="125">
        <f t="shared" si="682"/>
        <v>140.61000000000001</v>
      </c>
      <c r="M259" s="124">
        <v>0.68</v>
      </c>
      <c r="N259" s="125">
        <f t="shared" si="670"/>
        <v>121.83333333333333</v>
      </c>
      <c r="O259" s="125">
        <f t="shared" si="683"/>
        <v>87.720000000000013</v>
      </c>
      <c r="P259" s="124">
        <v>0.94</v>
      </c>
      <c r="Q259" s="125">
        <f t="shared" si="671"/>
        <v>168.41666666666666</v>
      </c>
      <c r="R259" s="125">
        <f t="shared" si="684"/>
        <v>121.25999999999999</v>
      </c>
      <c r="S259" s="124">
        <v>0.94</v>
      </c>
      <c r="T259" s="125">
        <f t="shared" si="672"/>
        <v>168.41666666666666</v>
      </c>
      <c r="U259" s="125">
        <f t="shared" si="685"/>
        <v>121.25999999999999</v>
      </c>
      <c r="X259" s="123"/>
      <c r="Y259" s="123"/>
      <c r="Z259" s="124">
        <v>0.99</v>
      </c>
      <c r="AA259" s="125">
        <f>Z259*$D259</f>
        <v>177.375</v>
      </c>
      <c r="AB259" s="125">
        <f t="shared" si="673"/>
        <v>127.71</v>
      </c>
      <c r="AC259" s="124">
        <v>0.34</v>
      </c>
      <c r="AD259" s="125">
        <f>AC259*$D259</f>
        <v>60.916666666666664</v>
      </c>
      <c r="AE259" s="125">
        <f t="shared" si="674"/>
        <v>43.860000000000007</v>
      </c>
      <c r="AF259" s="124">
        <v>0.81</v>
      </c>
      <c r="AG259" s="125">
        <f>AF259*$D259</f>
        <v>145.125</v>
      </c>
      <c r="AH259" s="125">
        <f t="shared" si="675"/>
        <v>104.49000000000001</v>
      </c>
      <c r="AI259" s="124">
        <v>0.81</v>
      </c>
      <c r="AJ259" s="125">
        <f>AI259*$D259</f>
        <v>145.125</v>
      </c>
      <c r="AK259" s="125">
        <f t="shared" si="676"/>
        <v>104.49000000000001</v>
      </c>
      <c r="AL259" s="162"/>
      <c r="AN259" s="123"/>
      <c r="AO259" s="123"/>
      <c r="AP259" s="124">
        <v>0.72</v>
      </c>
      <c r="AQ259" s="125">
        <f>AP259*$D259</f>
        <v>129</v>
      </c>
      <c r="AR259" s="125">
        <f t="shared" si="677"/>
        <v>92.88</v>
      </c>
      <c r="AS259" s="124">
        <v>0.3</v>
      </c>
      <c r="AT259" s="125">
        <f>AS259*$D259</f>
        <v>53.749999999999993</v>
      </c>
      <c r="AU259" s="125">
        <f t="shared" si="678"/>
        <v>38.699999999999996</v>
      </c>
      <c r="AV259" s="124">
        <v>0.59</v>
      </c>
      <c r="AW259" s="125">
        <f>AV259*$D259</f>
        <v>105.70833333333333</v>
      </c>
      <c r="AX259" s="125">
        <f t="shared" si="679"/>
        <v>76.11</v>
      </c>
      <c r="AY259" s="124">
        <v>0.59</v>
      </c>
      <c r="AZ259" s="125">
        <f>AY259*$D259</f>
        <v>105.70833333333333</v>
      </c>
      <c r="BA259" s="125">
        <f t="shared" si="680"/>
        <v>76.11</v>
      </c>
      <c r="BD259" s="139">
        <f t="shared" si="694"/>
        <v>162.14583333333331</v>
      </c>
      <c r="BE259" s="139">
        <f t="shared" si="695"/>
        <v>116.745</v>
      </c>
      <c r="BF259" s="139">
        <f t="shared" si="696"/>
        <v>87.791666666666657</v>
      </c>
      <c r="BG259" s="139">
        <f t="shared" si="697"/>
        <v>63.210000000000008</v>
      </c>
      <c r="BH259" s="139">
        <f t="shared" si="698"/>
        <v>137.0625</v>
      </c>
      <c r="BI259" s="139">
        <f t="shared" si="699"/>
        <v>98.685000000000002</v>
      </c>
      <c r="BJ259" s="139">
        <f t="shared" si="700"/>
        <v>137.0625</v>
      </c>
      <c r="BK259" s="139">
        <f t="shared" si="701"/>
        <v>98.685000000000002</v>
      </c>
    </row>
    <row r="260" spans="1:63" ht="14.4">
      <c r="A260" s="126" t="s">
        <v>183</v>
      </c>
      <c r="B260" s="118">
        <v>31</v>
      </c>
      <c r="C260" s="118">
        <f t="shared" si="681"/>
        <v>744</v>
      </c>
      <c r="D260" s="122">
        <f t="shared" si="668"/>
        <v>215.05376344086022</v>
      </c>
      <c r="E260" s="118">
        <v>160</v>
      </c>
      <c r="H260" s="123"/>
      <c r="J260" s="124">
        <v>1.01</v>
      </c>
      <c r="K260" s="125">
        <f t="shared" si="669"/>
        <v>217.20430107526883</v>
      </c>
      <c r="L260" s="125">
        <f t="shared" si="682"/>
        <v>161.6</v>
      </c>
      <c r="M260" s="124">
        <v>0.79</v>
      </c>
      <c r="N260" s="125">
        <f t="shared" si="670"/>
        <v>169.89247311827958</v>
      </c>
      <c r="O260" s="125">
        <f t="shared" si="683"/>
        <v>126.4</v>
      </c>
      <c r="P260" s="124">
        <v>0.94</v>
      </c>
      <c r="Q260" s="125">
        <f t="shared" si="671"/>
        <v>202.15053763440861</v>
      </c>
      <c r="R260" s="125">
        <f t="shared" si="684"/>
        <v>150.39999999999998</v>
      </c>
      <c r="S260" s="124">
        <v>0.94</v>
      </c>
      <c r="T260" s="125">
        <f t="shared" si="672"/>
        <v>202.15053763440861</v>
      </c>
      <c r="U260" s="125">
        <f t="shared" si="685"/>
        <v>150.39999999999998</v>
      </c>
      <c r="X260" s="123"/>
      <c r="Y260" s="123"/>
      <c r="Z260" s="124">
        <v>0.84</v>
      </c>
      <c r="AA260" s="125">
        <f t="shared" ref="AA260:AA267" si="702">Z260*$D260</f>
        <v>180.64516129032259</v>
      </c>
      <c r="AB260" s="125">
        <f t="shared" si="673"/>
        <v>134.4</v>
      </c>
      <c r="AC260" s="124">
        <v>0.4</v>
      </c>
      <c r="AD260" s="125">
        <f t="shared" ref="AD260:AD267" si="703">AC260*$D260</f>
        <v>86.021505376344095</v>
      </c>
      <c r="AE260" s="125">
        <f t="shared" si="674"/>
        <v>64</v>
      </c>
      <c r="AF260" s="124">
        <v>0.79</v>
      </c>
      <c r="AG260" s="125">
        <f t="shared" ref="AG260:AG267" si="704">AF260*$D260</f>
        <v>169.89247311827958</v>
      </c>
      <c r="AH260" s="125">
        <f t="shared" si="675"/>
        <v>126.4</v>
      </c>
      <c r="AI260" s="124">
        <v>0.79</v>
      </c>
      <c r="AJ260" s="125">
        <f t="shared" ref="AJ260:AJ267" si="705">AI260*$D260</f>
        <v>169.89247311827958</v>
      </c>
      <c r="AK260" s="125">
        <f t="shared" si="676"/>
        <v>126.4</v>
      </c>
      <c r="AL260" s="162"/>
      <c r="AN260" s="123"/>
      <c r="AO260" s="123"/>
      <c r="AP260" s="124">
        <v>0.55000000000000004</v>
      </c>
      <c r="AQ260" s="125">
        <f t="shared" si="690"/>
        <v>118.27956989247313</v>
      </c>
      <c r="AR260" s="125">
        <f t="shared" si="677"/>
        <v>88</v>
      </c>
      <c r="AS260" s="124">
        <v>0.3</v>
      </c>
      <c r="AT260" s="125">
        <f t="shared" si="691"/>
        <v>64.516129032258064</v>
      </c>
      <c r="AU260" s="125">
        <f t="shared" si="678"/>
        <v>48</v>
      </c>
      <c r="AV260" s="124">
        <v>0.56000000000000005</v>
      </c>
      <c r="AW260" s="125">
        <f t="shared" si="692"/>
        <v>120.43010752688174</v>
      </c>
      <c r="AX260" s="125">
        <f t="shared" si="679"/>
        <v>89.600000000000009</v>
      </c>
      <c r="AY260" s="124">
        <v>0.56000000000000005</v>
      </c>
      <c r="AZ260" s="125">
        <f t="shared" si="693"/>
        <v>120.43010752688174</v>
      </c>
      <c r="BA260" s="125">
        <f t="shared" si="680"/>
        <v>89.600000000000009</v>
      </c>
      <c r="BD260" s="139">
        <f t="shared" si="694"/>
        <v>167.74193548387098</v>
      </c>
      <c r="BE260" s="139">
        <f t="shared" si="695"/>
        <v>124.8</v>
      </c>
      <c r="BF260" s="139">
        <f t="shared" si="696"/>
        <v>117.20430107526883</v>
      </c>
      <c r="BG260" s="139">
        <f t="shared" si="697"/>
        <v>87.2</v>
      </c>
      <c r="BH260" s="139">
        <f t="shared" si="698"/>
        <v>161.29032258064518</v>
      </c>
      <c r="BI260" s="139">
        <f t="shared" si="699"/>
        <v>120</v>
      </c>
      <c r="BJ260" s="139">
        <f t="shared" si="700"/>
        <v>161.29032258064518</v>
      </c>
      <c r="BK260" s="139">
        <f t="shared" si="701"/>
        <v>120</v>
      </c>
    </row>
    <row r="261" spans="1:63" ht="14.4">
      <c r="A261" s="126" t="s">
        <v>184</v>
      </c>
      <c r="B261" s="118">
        <v>30</v>
      </c>
      <c r="C261" s="118">
        <f t="shared" si="681"/>
        <v>720</v>
      </c>
      <c r="D261" s="122">
        <f t="shared" si="668"/>
        <v>238.88888888888889</v>
      </c>
      <c r="E261" s="118">
        <v>172</v>
      </c>
      <c r="H261" s="123"/>
      <c r="I261" s="117" t="s">
        <v>199</v>
      </c>
      <c r="J261" s="124">
        <v>0.97</v>
      </c>
      <c r="K261" s="125">
        <f t="shared" si="669"/>
        <v>231.7222222222222</v>
      </c>
      <c r="L261" s="125">
        <f t="shared" si="682"/>
        <v>166.84</v>
      </c>
      <c r="M261" s="124">
        <v>0.82</v>
      </c>
      <c r="N261" s="125">
        <f t="shared" si="670"/>
        <v>195.88888888888889</v>
      </c>
      <c r="O261" s="125">
        <f t="shared" si="683"/>
        <v>141.04</v>
      </c>
      <c r="P261" s="124">
        <v>0.93</v>
      </c>
      <c r="Q261" s="125">
        <f t="shared" si="671"/>
        <v>222.16666666666669</v>
      </c>
      <c r="R261" s="125">
        <f t="shared" si="684"/>
        <v>159.96</v>
      </c>
      <c r="S261" s="124">
        <v>0.93</v>
      </c>
      <c r="T261" s="125">
        <f t="shared" si="672"/>
        <v>222.16666666666669</v>
      </c>
      <c r="U261" s="125">
        <f t="shared" si="685"/>
        <v>159.96</v>
      </c>
      <c r="W261" s="117" t="s">
        <v>199</v>
      </c>
      <c r="X261" s="123"/>
      <c r="Y261" s="123"/>
      <c r="Z261" s="124">
        <v>0.78</v>
      </c>
      <c r="AA261" s="125">
        <f t="shared" si="702"/>
        <v>186.33333333333334</v>
      </c>
      <c r="AB261" s="125">
        <f t="shared" si="673"/>
        <v>134.16</v>
      </c>
      <c r="AC261" s="124">
        <v>0.45</v>
      </c>
      <c r="AD261" s="125">
        <f t="shared" si="703"/>
        <v>107.5</v>
      </c>
      <c r="AE261" s="125">
        <f t="shared" si="674"/>
        <v>77.400000000000006</v>
      </c>
      <c r="AF261" s="124">
        <v>0.78</v>
      </c>
      <c r="AG261" s="125">
        <f t="shared" si="704"/>
        <v>186.33333333333334</v>
      </c>
      <c r="AH261" s="125">
        <f t="shared" si="675"/>
        <v>134.16</v>
      </c>
      <c r="AI261" s="124">
        <v>0.78</v>
      </c>
      <c r="AJ261" s="125">
        <f t="shared" si="705"/>
        <v>186.33333333333334</v>
      </c>
      <c r="AK261" s="125">
        <f t="shared" si="676"/>
        <v>134.16</v>
      </c>
      <c r="AL261" s="162"/>
      <c r="AM261" s="117" t="s">
        <v>199</v>
      </c>
      <c r="AN261" s="123"/>
      <c r="AO261" s="123"/>
      <c r="AP261" s="124">
        <v>0.5</v>
      </c>
      <c r="AQ261" s="125">
        <f t="shared" si="690"/>
        <v>119.44444444444444</v>
      </c>
      <c r="AR261" s="125">
        <f t="shared" si="677"/>
        <v>86</v>
      </c>
      <c r="AS261" s="124">
        <v>0.32</v>
      </c>
      <c r="AT261" s="125">
        <f t="shared" si="691"/>
        <v>76.444444444444443</v>
      </c>
      <c r="AU261" s="125">
        <f t="shared" si="678"/>
        <v>55.04</v>
      </c>
      <c r="AV261" s="124">
        <v>0.55000000000000004</v>
      </c>
      <c r="AW261" s="125">
        <f t="shared" si="692"/>
        <v>131.38888888888889</v>
      </c>
      <c r="AX261" s="125">
        <f t="shared" si="679"/>
        <v>94.600000000000009</v>
      </c>
      <c r="AY261" s="124">
        <v>0.55000000000000004</v>
      </c>
      <c r="AZ261" s="125">
        <f t="shared" si="693"/>
        <v>131.38888888888889</v>
      </c>
      <c r="BA261" s="125">
        <f t="shared" si="680"/>
        <v>94.600000000000009</v>
      </c>
      <c r="BC261" s="117" t="s">
        <v>199</v>
      </c>
      <c r="BD261" s="139">
        <f t="shared" si="694"/>
        <v>175.58333333333331</v>
      </c>
      <c r="BE261" s="139">
        <f t="shared" si="695"/>
        <v>126.42</v>
      </c>
      <c r="BF261" s="139">
        <f t="shared" si="696"/>
        <v>136.16666666666666</v>
      </c>
      <c r="BG261" s="139">
        <f t="shared" si="697"/>
        <v>98.039999999999992</v>
      </c>
      <c r="BH261" s="139">
        <f t="shared" si="698"/>
        <v>176.77777777777777</v>
      </c>
      <c r="BI261" s="139">
        <f t="shared" si="699"/>
        <v>127.28</v>
      </c>
      <c r="BJ261" s="139">
        <f t="shared" si="700"/>
        <v>176.77777777777777</v>
      </c>
      <c r="BK261" s="139">
        <f>(U261+BA261)/2</f>
        <v>127.28</v>
      </c>
    </row>
    <row r="262" spans="1:63" ht="14.4">
      <c r="A262" s="126" t="s">
        <v>185</v>
      </c>
      <c r="B262" s="118">
        <v>31</v>
      </c>
      <c r="C262" s="118">
        <f t="shared" si="681"/>
        <v>744</v>
      </c>
      <c r="D262" s="122">
        <f t="shared" si="668"/>
        <v>223.11827956989248</v>
      </c>
      <c r="E262" s="118">
        <v>166</v>
      </c>
      <c r="H262" s="123"/>
      <c r="I262" s="117" t="s">
        <v>243</v>
      </c>
      <c r="J262" s="124">
        <v>0.98</v>
      </c>
      <c r="K262" s="125">
        <f t="shared" si="669"/>
        <v>218.65591397849462</v>
      </c>
      <c r="L262" s="125">
        <f t="shared" si="682"/>
        <v>162.68</v>
      </c>
      <c r="M262" s="124">
        <v>0.81</v>
      </c>
      <c r="N262" s="125">
        <f t="shared" si="670"/>
        <v>180.72580645161293</v>
      </c>
      <c r="O262" s="125">
        <f t="shared" si="683"/>
        <v>134.46</v>
      </c>
      <c r="P262" s="124">
        <v>0.93</v>
      </c>
      <c r="Q262" s="125">
        <f t="shared" si="671"/>
        <v>207.50000000000003</v>
      </c>
      <c r="R262" s="125">
        <f t="shared" si="684"/>
        <v>154.38</v>
      </c>
      <c r="S262" s="124">
        <v>0.93</v>
      </c>
      <c r="T262" s="125">
        <f t="shared" si="672"/>
        <v>207.50000000000003</v>
      </c>
      <c r="U262" s="125">
        <f t="shared" si="685"/>
        <v>154.38</v>
      </c>
      <c r="W262" s="117" t="s">
        <v>243</v>
      </c>
      <c r="X262" s="123"/>
      <c r="Y262" s="123"/>
      <c r="Z262" s="124">
        <v>0.81</v>
      </c>
      <c r="AA262" s="125">
        <f t="shared" si="702"/>
        <v>180.72580645161293</v>
      </c>
      <c r="AB262" s="125">
        <f t="shared" si="673"/>
        <v>134.46</v>
      </c>
      <c r="AC262" s="124">
        <v>0.42</v>
      </c>
      <c r="AD262" s="125">
        <f t="shared" si="703"/>
        <v>93.709677419354833</v>
      </c>
      <c r="AE262" s="125">
        <f t="shared" si="674"/>
        <v>69.72</v>
      </c>
      <c r="AF262" s="124">
        <v>0.78</v>
      </c>
      <c r="AG262" s="125">
        <f t="shared" si="704"/>
        <v>174.03225806451613</v>
      </c>
      <c r="AH262" s="125">
        <f t="shared" si="675"/>
        <v>129.48000000000002</v>
      </c>
      <c r="AI262" s="124">
        <v>0.78</v>
      </c>
      <c r="AJ262" s="125">
        <f t="shared" si="705"/>
        <v>174.03225806451613</v>
      </c>
      <c r="AK262" s="125">
        <f t="shared" si="676"/>
        <v>129.48000000000002</v>
      </c>
      <c r="AL262" s="162"/>
      <c r="AM262" s="117" t="s">
        <v>243</v>
      </c>
      <c r="AN262" s="123"/>
      <c r="AO262" s="123"/>
      <c r="AP262" s="124">
        <v>0.52</v>
      </c>
      <c r="AQ262" s="125">
        <f t="shared" si="690"/>
        <v>116.02150537634409</v>
      </c>
      <c r="AR262" s="125">
        <f t="shared" si="677"/>
        <v>86.320000000000007</v>
      </c>
      <c r="AS262" s="124">
        <v>0.31</v>
      </c>
      <c r="AT262" s="125">
        <f t="shared" si="691"/>
        <v>69.166666666666671</v>
      </c>
      <c r="AU262" s="125">
        <f t="shared" si="678"/>
        <v>51.46</v>
      </c>
      <c r="AV262" s="124">
        <v>0.55000000000000004</v>
      </c>
      <c r="AW262" s="125">
        <f t="shared" si="692"/>
        <v>122.71505376344088</v>
      </c>
      <c r="AX262" s="125">
        <f t="shared" si="679"/>
        <v>91.300000000000011</v>
      </c>
      <c r="AY262" s="124">
        <v>0.55000000000000004</v>
      </c>
      <c r="AZ262" s="125">
        <f t="shared" si="693"/>
        <v>122.71505376344088</v>
      </c>
      <c r="BA262" s="125">
        <f t="shared" si="680"/>
        <v>91.300000000000011</v>
      </c>
      <c r="BC262" s="117" t="s">
        <v>243</v>
      </c>
      <c r="BD262" s="139">
        <f t="shared" si="694"/>
        <v>167.33870967741936</v>
      </c>
      <c r="BE262" s="139">
        <f t="shared" si="695"/>
        <v>124.5</v>
      </c>
      <c r="BF262" s="139">
        <f t="shared" si="696"/>
        <v>124.94623655913981</v>
      </c>
      <c r="BG262" s="139">
        <f t="shared" si="697"/>
        <v>92.960000000000008</v>
      </c>
      <c r="BH262" s="139">
        <f t="shared" si="698"/>
        <v>165.10752688172045</v>
      </c>
      <c r="BI262" s="139">
        <f t="shared" si="699"/>
        <v>122.84</v>
      </c>
      <c r="BJ262" s="139">
        <f t="shared" si="700"/>
        <v>165.10752688172045</v>
      </c>
      <c r="BK262" s="139">
        <f t="shared" ref="BK262:BK263" si="706">(U262+BA262)/2</f>
        <v>122.84</v>
      </c>
    </row>
    <row r="263" spans="1:63" ht="14.4">
      <c r="A263" s="126" t="s">
        <v>186</v>
      </c>
      <c r="B263" s="118">
        <v>31</v>
      </c>
      <c r="C263" s="118">
        <f t="shared" si="681"/>
        <v>744</v>
      </c>
      <c r="D263" s="122">
        <f t="shared" si="668"/>
        <v>193.54838709677421</v>
      </c>
      <c r="E263" s="118">
        <v>144</v>
      </c>
      <c r="H263" s="123"/>
      <c r="J263" s="124">
        <v>1.04</v>
      </c>
      <c r="K263" s="125">
        <f t="shared" si="669"/>
        <v>201.29032258064518</v>
      </c>
      <c r="L263" s="125">
        <f t="shared" si="682"/>
        <v>149.76</v>
      </c>
      <c r="M263" s="124">
        <v>0.73</v>
      </c>
      <c r="N263" s="125">
        <f t="shared" si="670"/>
        <v>141.29032258064515</v>
      </c>
      <c r="O263" s="125">
        <f t="shared" si="683"/>
        <v>105.12</v>
      </c>
      <c r="P263" s="124">
        <v>0.94</v>
      </c>
      <c r="Q263" s="125">
        <f t="shared" si="671"/>
        <v>181.93548387096774</v>
      </c>
      <c r="R263" s="125">
        <f t="shared" si="684"/>
        <v>135.35999999999999</v>
      </c>
      <c r="S263" s="124">
        <v>0.94</v>
      </c>
      <c r="T263" s="125">
        <f t="shared" si="672"/>
        <v>181.93548387096774</v>
      </c>
      <c r="U263" s="125">
        <f t="shared" si="685"/>
        <v>135.35999999999999</v>
      </c>
      <c r="X263" s="123"/>
      <c r="Y263" s="123"/>
      <c r="Z263" s="124">
        <v>0.91</v>
      </c>
      <c r="AA263" s="125">
        <f t="shared" si="702"/>
        <v>176.12903225806454</v>
      </c>
      <c r="AB263" s="125">
        <f t="shared" si="673"/>
        <v>131.04</v>
      </c>
      <c r="AC263" s="124">
        <v>0.35</v>
      </c>
      <c r="AD263" s="125">
        <f t="shared" si="703"/>
        <v>67.741935483870961</v>
      </c>
      <c r="AE263" s="125">
        <f t="shared" si="674"/>
        <v>50.4</v>
      </c>
      <c r="AF263" s="124">
        <v>0.79</v>
      </c>
      <c r="AG263" s="125">
        <f t="shared" si="704"/>
        <v>152.90322580645164</v>
      </c>
      <c r="AH263" s="125">
        <f t="shared" si="675"/>
        <v>113.76</v>
      </c>
      <c r="AI263" s="124">
        <v>0.79</v>
      </c>
      <c r="AJ263" s="125">
        <f t="shared" si="705"/>
        <v>152.90322580645164</v>
      </c>
      <c r="AK263" s="125">
        <f t="shared" si="676"/>
        <v>113.76</v>
      </c>
      <c r="AL263" s="162"/>
      <c r="AN263" s="123"/>
      <c r="AO263" s="123"/>
      <c r="AP263" s="124">
        <v>0.62</v>
      </c>
      <c r="AQ263" s="125">
        <f t="shared" si="690"/>
        <v>120</v>
      </c>
      <c r="AR263" s="125">
        <f t="shared" si="677"/>
        <v>89.28</v>
      </c>
      <c r="AS263" s="124">
        <v>0.3</v>
      </c>
      <c r="AT263" s="125">
        <f t="shared" si="691"/>
        <v>58.064516129032256</v>
      </c>
      <c r="AU263" s="125">
        <f t="shared" si="678"/>
        <v>43.199999999999996</v>
      </c>
      <c r="AV263" s="124">
        <v>0.56999999999999995</v>
      </c>
      <c r="AW263" s="125">
        <f t="shared" si="692"/>
        <v>110.32258064516128</v>
      </c>
      <c r="AX263" s="125">
        <f t="shared" si="679"/>
        <v>82.08</v>
      </c>
      <c r="AY263" s="124">
        <v>0.56999999999999995</v>
      </c>
      <c r="AZ263" s="125">
        <f t="shared" si="693"/>
        <v>110.32258064516128</v>
      </c>
      <c r="BA263" s="125">
        <f t="shared" si="680"/>
        <v>82.08</v>
      </c>
      <c r="BD263" s="139">
        <f t="shared" si="694"/>
        <v>160.64516129032259</v>
      </c>
      <c r="BE263" s="139">
        <f>(L263+AR263)/2</f>
        <v>119.52</v>
      </c>
      <c r="BF263" s="139">
        <f t="shared" si="696"/>
        <v>99.677419354838705</v>
      </c>
      <c r="BG263" s="139">
        <f>(O263+AU263)/2</f>
        <v>74.16</v>
      </c>
      <c r="BH263" s="139">
        <f t="shared" si="698"/>
        <v>146.12903225806451</v>
      </c>
      <c r="BI263" s="139">
        <f t="shared" si="699"/>
        <v>108.72</v>
      </c>
      <c r="BJ263" s="139">
        <f t="shared" si="700"/>
        <v>146.12903225806451</v>
      </c>
      <c r="BK263" s="139">
        <f t="shared" si="706"/>
        <v>108.72</v>
      </c>
    </row>
    <row r="264" spans="1:63" ht="14.4">
      <c r="A264" s="126" t="s">
        <v>187</v>
      </c>
      <c r="B264" s="118">
        <v>30</v>
      </c>
      <c r="C264" s="118">
        <f t="shared" si="681"/>
        <v>720</v>
      </c>
      <c r="D264" s="122">
        <f t="shared" si="668"/>
        <v>144.44444444444446</v>
      </c>
      <c r="E264" s="118">
        <v>104</v>
      </c>
      <c r="H264" s="123"/>
      <c r="J264" s="124">
        <v>1.17</v>
      </c>
      <c r="K264" s="125">
        <f t="shared" si="669"/>
        <v>169</v>
      </c>
      <c r="L264" s="125">
        <f t="shared" si="682"/>
        <v>121.67999999999999</v>
      </c>
      <c r="M264" s="124">
        <v>0.59</v>
      </c>
      <c r="N264" s="125">
        <f t="shared" si="670"/>
        <v>85.222222222222229</v>
      </c>
      <c r="O264" s="125">
        <f t="shared" si="683"/>
        <v>61.36</v>
      </c>
      <c r="P264" s="124">
        <v>0.95</v>
      </c>
      <c r="Q264" s="125">
        <f t="shared" si="671"/>
        <v>137.22222222222223</v>
      </c>
      <c r="R264" s="125">
        <f t="shared" si="684"/>
        <v>98.8</v>
      </c>
      <c r="S264" s="124">
        <v>0.95</v>
      </c>
      <c r="T264" s="125">
        <f t="shared" si="672"/>
        <v>137.22222222222223</v>
      </c>
      <c r="U264" s="125">
        <f t="shared" si="685"/>
        <v>98.8</v>
      </c>
      <c r="X264" s="123"/>
      <c r="Y264" s="123"/>
      <c r="Z264" s="124">
        <v>1.1100000000000001</v>
      </c>
      <c r="AA264" s="125">
        <f t="shared" si="702"/>
        <v>160.33333333333337</v>
      </c>
      <c r="AB264" s="125">
        <f t="shared" si="673"/>
        <v>115.44000000000001</v>
      </c>
      <c r="AC264" s="124">
        <v>0.31</v>
      </c>
      <c r="AD264" s="125">
        <f t="shared" si="703"/>
        <v>44.777777777777779</v>
      </c>
      <c r="AE264" s="125">
        <f t="shared" si="674"/>
        <v>32.24</v>
      </c>
      <c r="AF264" s="124">
        <v>0.81</v>
      </c>
      <c r="AG264" s="125">
        <f t="shared" si="704"/>
        <v>117.00000000000001</v>
      </c>
      <c r="AH264" s="125">
        <f t="shared" si="675"/>
        <v>84.240000000000009</v>
      </c>
      <c r="AI264" s="124">
        <v>0.81</v>
      </c>
      <c r="AJ264" s="125">
        <f t="shared" si="705"/>
        <v>117.00000000000001</v>
      </c>
      <c r="AK264" s="125">
        <f t="shared" si="676"/>
        <v>84.240000000000009</v>
      </c>
      <c r="AL264" s="162"/>
      <c r="AN264" s="123"/>
      <c r="AO264" s="123"/>
      <c r="AP264" s="124">
        <v>0.85</v>
      </c>
      <c r="AQ264" s="125">
        <f t="shared" si="690"/>
        <v>122.77777777777779</v>
      </c>
      <c r="AR264" s="125">
        <f t="shared" si="677"/>
        <v>88.399999999999991</v>
      </c>
      <c r="AS264" s="124">
        <v>0.28000000000000003</v>
      </c>
      <c r="AT264" s="125">
        <f t="shared" si="691"/>
        <v>40.44444444444445</v>
      </c>
      <c r="AU264" s="125">
        <f t="shared" si="678"/>
        <v>29.120000000000005</v>
      </c>
      <c r="AV264" s="124">
        <v>0.6</v>
      </c>
      <c r="AW264" s="125">
        <f t="shared" si="692"/>
        <v>86.666666666666671</v>
      </c>
      <c r="AX264" s="125">
        <f t="shared" si="679"/>
        <v>62.4</v>
      </c>
      <c r="AY264" s="124">
        <v>0.6</v>
      </c>
      <c r="AZ264" s="125">
        <f t="shared" si="693"/>
        <v>86.666666666666671</v>
      </c>
      <c r="BA264" s="125">
        <f t="shared" si="680"/>
        <v>62.4</v>
      </c>
      <c r="BD264" s="139">
        <f t="shared" si="694"/>
        <v>145.88888888888889</v>
      </c>
      <c r="BE264" s="139">
        <f t="shared" ref="BE264:BE267" si="707">(L264+AR264)/2</f>
        <v>105.03999999999999</v>
      </c>
      <c r="BF264" s="139">
        <f t="shared" si="696"/>
        <v>62.833333333333343</v>
      </c>
      <c r="BG264" s="139">
        <f t="shared" ref="BG264:BG267" si="708">(O264+AU264)/2</f>
        <v>45.24</v>
      </c>
      <c r="BH264" s="139">
        <f t="shared" si="698"/>
        <v>111.94444444444446</v>
      </c>
      <c r="BI264" s="139">
        <f t="shared" si="699"/>
        <v>80.599999999999994</v>
      </c>
      <c r="BJ264" s="139">
        <f t="shared" si="700"/>
        <v>111.94444444444446</v>
      </c>
      <c r="BK264" s="139">
        <f>(U264+BA264)/2</f>
        <v>80.599999999999994</v>
      </c>
    </row>
    <row r="265" spans="1:63" ht="14.4">
      <c r="A265" s="126" t="s">
        <v>59</v>
      </c>
      <c r="B265" s="118">
        <v>31</v>
      </c>
      <c r="C265" s="118">
        <f t="shared" si="681"/>
        <v>744</v>
      </c>
      <c r="D265" s="122">
        <f t="shared" si="668"/>
        <v>80.645161290322577</v>
      </c>
      <c r="E265" s="118">
        <v>60</v>
      </c>
      <c r="H265" s="123"/>
      <c r="J265" s="124">
        <v>1.33</v>
      </c>
      <c r="K265" s="125">
        <f t="shared" si="669"/>
        <v>107.25806451612904</v>
      </c>
      <c r="L265" s="125">
        <f t="shared" si="682"/>
        <v>79.800000000000011</v>
      </c>
      <c r="M265" s="124">
        <v>0.45</v>
      </c>
      <c r="N265" s="125">
        <f t="shared" si="670"/>
        <v>36.29032258064516</v>
      </c>
      <c r="O265" s="125">
        <f t="shared" si="683"/>
        <v>27</v>
      </c>
      <c r="P265" s="124">
        <v>0.96</v>
      </c>
      <c r="Q265" s="125">
        <f t="shared" si="671"/>
        <v>77.419354838709666</v>
      </c>
      <c r="R265" s="125">
        <f t="shared" si="684"/>
        <v>57.599999999999994</v>
      </c>
      <c r="S265" s="124">
        <v>0.96</v>
      </c>
      <c r="T265" s="125">
        <f t="shared" si="672"/>
        <v>77.419354838709666</v>
      </c>
      <c r="U265" s="125">
        <f t="shared" si="685"/>
        <v>57.599999999999994</v>
      </c>
      <c r="X265" s="123"/>
      <c r="Y265" s="123"/>
      <c r="Z265" s="124">
        <v>1.4</v>
      </c>
      <c r="AA265" s="125">
        <f t="shared" si="702"/>
        <v>112.9032258064516</v>
      </c>
      <c r="AB265" s="125">
        <f t="shared" si="673"/>
        <v>84</v>
      </c>
      <c r="AC265" s="124">
        <v>0.34</v>
      </c>
      <c r="AD265" s="125">
        <f t="shared" si="703"/>
        <v>27.41935483870968</v>
      </c>
      <c r="AE265" s="125">
        <f t="shared" si="674"/>
        <v>20.400000000000002</v>
      </c>
      <c r="AF265" s="124">
        <v>0.84</v>
      </c>
      <c r="AG265" s="125">
        <f t="shared" si="704"/>
        <v>67.741935483870961</v>
      </c>
      <c r="AH265" s="125">
        <f t="shared" si="675"/>
        <v>50.4</v>
      </c>
      <c r="AI265" s="124">
        <v>0.84</v>
      </c>
      <c r="AJ265" s="125">
        <f t="shared" si="705"/>
        <v>67.741935483870961</v>
      </c>
      <c r="AK265" s="125">
        <f t="shared" si="676"/>
        <v>50.4</v>
      </c>
      <c r="AL265" s="162"/>
      <c r="AN265" s="123"/>
      <c r="AO265" s="123"/>
      <c r="AP265" s="124">
        <v>1.19</v>
      </c>
      <c r="AQ265" s="125">
        <f t="shared" si="690"/>
        <v>95.967741935483858</v>
      </c>
      <c r="AR265" s="125">
        <f t="shared" si="677"/>
        <v>71.399999999999991</v>
      </c>
      <c r="AS265" s="124">
        <v>0.3</v>
      </c>
      <c r="AT265" s="125">
        <f t="shared" si="691"/>
        <v>24.193548387096772</v>
      </c>
      <c r="AU265" s="125">
        <f t="shared" si="678"/>
        <v>18</v>
      </c>
      <c r="AV265" s="124">
        <v>0.63</v>
      </c>
      <c r="AW265" s="125">
        <f t="shared" si="692"/>
        <v>50.806451612903224</v>
      </c>
      <c r="AX265" s="125">
        <f t="shared" si="679"/>
        <v>37.799999999999997</v>
      </c>
      <c r="AY265" s="124">
        <v>0.63</v>
      </c>
      <c r="AZ265" s="125">
        <f t="shared" si="693"/>
        <v>50.806451612903224</v>
      </c>
      <c r="BA265" s="125">
        <f t="shared" si="680"/>
        <v>37.799999999999997</v>
      </c>
      <c r="BD265" s="139">
        <f t="shared" si="694"/>
        <v>101.61290322580645</v>
      </c>
      <c r="BE265" s="139">
        <f t="shared" si="707"/>
        <v>75.599999999999994</v>
      </c>
      <c r="BF265" s="139">
        <f t="shared" si="696"/>
        <v>30.241935483870968</v>
      </c>
      <c r="BG265" s="139">
        <f t="shared" si="708"/>
        <v>22.5</v>
      </c>
      <c r="BH265" s="139">
        <f t="shared" si="698"/>
        <v>64.112903225806448</v>
      </c>
      <c r="BI265" s="139">
        <f t="shared" si="699"/>
        <v>47.699999999999996</v>
      </c>
      <c r="BJ265" s="139">
        <f t="shared" si="700"/>
        <v>64.112903225806448</v>
      </c>
      <c r="BK265" s="139">
        <f t="shared" ref="BK265:BK267" si="709">(U265+BA265)/2</f>
        <v>47.699999999999996</v>
      </c>
    </row>
    <row r="266" spans="1:63" ht="14.4">
      <c r="A266" s="126" t="s">
        <v>60</v>
      </c>
      <c r="B266" s="118">
        <v>30</v>
      </c>
      <c r="C266" s="118">
        <f t="shared" si="681"/>
        <v>720</v>
      </c>
      <c r="D266" s="122">
        <f t="shared" si="668"/>
        <v>38.888888888888886</v>
      </c>
      <c r="E266" s="118">
        <v>28</v>
      </c>
      <c r="H266" s="123"/>
      <c r="J266" s="124">
        <v>1.52</v>
      </c>
      <c r="K266" s="125">
        <f t="shared" si="669"/>
        <v>59.111111111111107</v>
      </c>
      <c r="L266" s="125">
        <f t="shared" si="682"/>
        <v>42.56</v>
      </c>
      <c r="M266" s="124">
        <v>0.47</v>
      </c>
      <c r="N266" s="125">
        <f t="shared" si="670"/>
        <v>18.277777777777775</v>
      </c>
      <c r="O266" s="125">
        <f t="shared" si="683"/>
        <v>13.16</v>
      </c>
      <c r="P266" s="124">
        <v>0.97</v>
      </c>
      <c r="Q266" s="125">
        <f t="shared" si="671"/>
        <v>37.722222222222221</v>
      </c>
      <c r="R266" s="125">
        <f t="shared" si="684"/>
        <v>27.16</v>
      </c>
      <c r="S266" s="124">
        <v>0.97</v>
      </c>
      <c r="T266" s="125">
        <f t="shared" si="672"/>
        <v>37.722222222222221</v>
      </c>
      <c r="U266" s="125">
        <f t="shared" si="685"/>
        <v>27.16</v>
      </c>
      <c r="X266" s="123"/>
      <c r="Y266" s="123"/>
      <c r="Z266" s="124">
        <v>1.75</v>
      </c>
      <c r="AA266" s="125">
        <f t="shared" si="702"/>
        <v>68.055555555555543</v>
      </c>
      <c r="AB266" s="125">
        <f t="shared" si="673"/>
        <v>49</v>
      </c>
      <c r="AC266" s="124">
        <v>0.4</v>
      </c>
      <c r="AD266" s="125">
        <f t="shared" si="703"/>
        <v>15.555555555555555</v>
      </c>
      <c r="AE266" s="125">
        <f t="shared" si="674"/>
        <v>11.200000000000001</v>
      </c>
      <c r="AF266" s="124">
        <v>0.86</v>
      </c>
      <c r="AG266" s="125">
        <f t="shared" si="704"/>
        <v>33.444444444444443</v>
      </c>
      <c r="AH266" s="125">
        <f t="shared" si="675"/>
        <v>24.08</v>
      </c>
      <c r="AI266" s="124">
        <v>0.86</v>
      </c>
      <c r="AJ266" s="125">
        <f t="shared" si="705"/>
        <v>33.444444444444443</v>
      </c>
      <c r="AK266" s="125">
        <f t="shared" si="676"/>
        <v>24.08</v>
      </c>
      <c r="AL266" s="162"/>
      <c r="AN266" s="123"/>
      <c r="AO266" s="123"/>
      <c r="AP266" s="124">
        <v>1.62</v>
      </c>
      <c r="AQ266" s="125">
        <f t="shared" si="690"/>
        <v>63</v>
      </c>
      <c r="AR266" s="125">
        <f t="shared" si="677"/>
        <v>45.36</v>
      </c>
      <c r="AS266" s="124">
        <v>0.37</v>
      </c>
      <c r="AT266" s="125">
        <f t="shared" si="691"/>
        <v>14.388888888888888</v>
      </c>
      <c r="AU266" s="125">
        <f t="shared" si="678"/>
        <v>10.36</v>
      </c>
      <c r="AV266" s="124">
        <v>0.65</v>
      </c>
      <c r="AW266" s="125">
        <f t="shared" si="692"/>
        <v>25.277777777777775</v>
      </c>
      <c r="AX266" s="125">
        <f t="shared" si="679"/>
        <v>18.2</v>
      </c>
      <c r="AY266" s="124">
        <v>0.65</v>
      </c>
      <c r="AZ266" s="125">
        <f t="shared" si="693"/>
        <v>25.277777777777775</v>
      </c>
      <c r="BA266" s="125">
        <f t="shared" si="680"/>
        <v>18.2</v>
      </c>
      <c r="BD266" s="139">
        <f t="shared" si="694"/>
        <v>61.055555555555557</v>
      </c>
      <c r="BE266" s="139">
        <f t="shared" si="707"/>
        <v>43.96</v>
      </c>
      <c r="BF266" s="139">
        <f t="shared" si="696"/>
        <v>16.333333333333332</v>
      </c>
      <c r="BG266" s="139">
        <f t="shared" si="708"/>
        <v>11.76</v>
      </c>
      <c r="BH266" s="139">
        <f t="shared" si="698"/>
        <v>31.5</v>
      </c>
      <c r="BI266" s="139">
        <f t="shared" si="699"/>
        <v>22.68</v>
      </c>
      <c r="BJ266" s="139">
        <f t="shared" si="700"/>
        <v>31.5</v>
      </c>
      <c r="BK266" s="139">
        <f t="shared" si="709"/>
        <v>22.68</v>
      </c>
    </row>
    <row r="267" spans="1:63" ht="15" thickBot="1">
      <c r="A267" s="127" t="s">
        <v>61</v>
      </c>
      <c r="B267" s="118">
        <v>31</v>
      </c>
      <c r="C267" s="118">
        <f t="shared" si="681"/>
        <v>744</v>
      </c>
      <c r="D267" s="122">
        <f t="shared" si="668"/>
        <v>25.537634408602152</v>
      </c>
      <c r="E267" s="118">
        <v>19</v>
      </c>
      <c r="H267" s="123"/>
      <c r="J267" s="124">
        <v>1.76</v>
      </c>
      <c r="K267" s="125">
        <f t="shared" si="669"/>
        <v>44.946236559139784</v>
      </c>
      <c r="L267" s="125">
        <f t="shared" si="682"/>
        <v>33.44</v>
      </c>
      <c r="M267" s="124">
        <v>0.48</v>
      </c>
      <c r="N267" s="125">
        <f t="shared" si="670"/>
        <v>12.258064516129032</v>
      </c>
      <c r="O267" s="125">
        <f t="shared" si="683"/>
        <v>9.1199999999999992</v>
      </c>
      <c r="P267" s="124">
        <v>0.99</v>
      </c>
      <c r="Q267" s="125">
        <f t="shared" si="671"/>
        <v>25.282258064516132</v>
      </c>
      <c r="R267" s="125">
        <f t="shared" si="684"/>
        <v>18.809999999999999</v>
      </c>
      <c r="S267" s="124">
        <v>0.99</v>
      </c>
      <c r="T267" s="125">
        <f t="shared" si="672"/>
        <v>25.282258064516132</v>
      </c>
      <c r="U267" s="125">
        <f t="shared" si="685"/>
        <v>18.809999999999999</v>
      </c>
      <c r="X267" s="123"/>
      <c r="Y267" s="123"/>
      <c r="Z267" s="124">
        <v>2.15</v>
      </c>
      <c r="AA267" s="125">
        <f t="shared" si="702"/>
        <v>54.905913978494624</v>
      </c>
      <c r="AB267" s="125">
        <f t="shared" si="673"/>
        <v>40.85</v>
      </c>
      <c r="AC267" s="124">
        <v>0.46</v>
      </c>
      <c r="AD267" s="125">
        <f t="shared" si="703"/>
        <v>11.74731182795699</v>
      </c>
      <c r="AE267" s="125">
        <f t="shared" si="674"/>
        <v>8.74</v>
      </c>
      <c r="AF267" s="124">
        <v>0.9</v>
      </c>
      <c r="AG267" s="125">
        <f t="shared" si="704"/>
        <v>22.983870967741936</v>
      </c>
      <c r="AH267" s="125">
        <f t="shared" si="675"/>
        <v>17.100000000000001</v>
      </c>
      <c r="AI267" s="124">
        <v>0.9</v>
      </c>
      <c r="AJ267" s="125">
        <f t="shared" si="705"/>
        <v>22.983870967741936</v>
      </c>
      <c r="AK267" s="125">
        <f t="shared" si="676"/>
        <v>17.100000000000001</v>
      </c>
      <c r="AL267" s="162"/>
      <c r="AN267" s="123"/>
      <c r="AO267" s="123"/>
      <c r="AP267" s="124">
        <v>2.19</v>
      </c>
      <c r="AQ267" s="125">
        <f t="shared" si="690"/>
        <v>55.927419354838712</v>
      </c>
      <c r="AR267" s="125">
        <f t="shared" si="677"/>
        <v>41.61</v>
      </c>
      <c r="AS267" s="124">
        <v>0.46</v>
      </c>
      <c r="AT267" s="125">
        <f t="shared" si="691"/>
        <v>11.74731182795699</v>
      </c>
      <c r="AU267" s="125">
        <f t="shared" si="678"/>
        <v>8.74</v>
      </c>
      <c r="AV267" s="124">
        <v>0.77</v>
      </c>
      <c r="AW267" s="125">
        <f t="shared" si="692"/>
        <v>19.663978494623656</v>
      </c>
      <c r="AX267" s="125">
        <f t="shared" si="679"/>
        <v>14.63</v>
      </c>
      <c r="AY267" s="124">
        <v>0.77</v>
      </c>
      <c r="AZ267" s="125">
        <f t="shared" si="693"/>
        <v>19.663978494623656</v>
      </c>
      <c r="BA267" s="125">
        <f t="shared" si="680"/>
        <v>14.63</v>
      </c>
      <c r="BD267" s="139">
        <f t="shared" si="694"/>
        <v>50.436827956989248</v>
      </c>
      <c r="BE267" s="139">
        <f t="shared" si="707"/>
        <v>37.524999999999999</v>
      </c>
      <c r="BF267" s="139">
        <f t="shared" si="696"/>
        <v>12.002688172043012</v>
      </c>
      <c r="BG267" s="139">
        <f t="shared" si="708"/>
        <v>8.93</v>
      </c>
      <c r="BH267" s="139">
        <f t="shared" si="698"/>
        <v>22.473118279569896</v>
      </c>
      <c r="BI267" s="139">
        <f t="shared" si="699"/>
        <v>16.72</v>
      </c>
      <c r="BJ267" s="139">
        <f t="shared" si="700"/>
        <v>22.473118279569896</v>
      </c>
      <c r="BK267" s="139">
        <f t="shared" si="709"/>
        <v>16.72</v>
      </c>
    </row>
  </sheetData>
  <mergeCells count="274">
    <mergeCell ref="BD254:BE254"/>
    <mergeCell ref="BF254:BG254"/>
    <mergeCell ref="BH254:BI254"/>
    <mergeCell ref="BJ254:BK254"/>
    <mergeCell ref="A5:R5"/>
    <mergeCell ref="BD224:BE224"/>
    <mergeCell ref="BF224:BG224"/>
    <mergeCell ref="BH224:BI224"/>
    <mergeCell ref="BJ224:BK224"/>
    <mergeCell ref="BD239:BE239"/>
    <mergeCell ref="BF239:BG239"/>
    <mergeCell ref="BH239:BI239"/>
    <mergeCell ref="BJ239:BK239"/>
    <mergeCell ref="BD194:BE194"/>
    <mergeCell ref="BF194:BG194"/>
    <mergeCell ref="BH194:BI194"/>
    <mergeCell ref="BJ194:BK194"/>
    <mergeCell ref="BD209:BE209"/>
    <mergeCell ref="BF209:BG209"/>
    <mergeCell ref="BH209:BI209"/>
    <mergeCell ref="BJ209:BK209"/>
    <mergeCell ref="BD164:BE164"/>
    <mergeCell ref="BF164:BG164"/>
    <mergeCell ref="BH164:BI164"/>
    <mergeCell ref="BJ164:BK164"/>
    <mergeCell ref="BD179:BE179"/>
    <mergeCell ref="BF179:BG179"/>
    <mergeCell ref="BH179:BI179"/>
    <mergeCell ref="BJ179:BK179"/>
    <mergeCell ref="BD134:BE134"/>
    <mergeCell ref="BF134:BG134"/>
    <mergeCell ref="BH134:BI134"/>
    <mergeCell ref="BJ134:BK134"/>
    <mergeCell ref="BD149:BE149"/>
    <mergeCell ref="BF149:BG149"/>
    <mergeCell ref="BH149:BI149"/>
    <mergeCell ref="BJ149:BK149"/>
    <mergeCell ref="BD102:BE102"/>
    <mergeCell ref="BF102:BG102"/>
    <mergeCell ref="BH102:BI102"/>
    <mergeCell ref="BJ102:BK102"/>
    <mergeCell ref="BD118:BE118"/>
    <mergeCell ref="BF118:BG118"/>
    <mergeCell ref="BH118:BI118"/>
    <mergeCell ref="BJ118:BK118"/>
    <mergeCell ref="BD69:BE69"/>
    <mergeCell ref="BF69:BG69"/>
    <mergeCell ref="BH69:BI69"/>
    <mergeCell ref="BJ69:BK69"/>
    <mergeCell ref="BD85:BE85"/>
    <mergeCell ref="BF85:BG85"/>
    <mergeCell ref="BH85:BI85"/>
    <mergeCell ref="BJ85:BK85"/>
    <mergeCell ref="BD39:BE39"/>
    <mergeCell ref="BF39:BG39"/>
    <mergeCell ref="BH39:BI39"/>
    <mergeCell ref="BJ39:BK39"/>
    <mergeCell ref="BD54:BE54"/>
    <mergeCell ref="BF54:BG54"/>
    <mergeCell ref="BH54:BI54"/>
    <mergeCell ref="BJ54:BK54"/>
    <mergeCell ref="BD9:BE9"/>
    <mergeCell ref="BJ9:BK9"/>
    <mergeCell ref="BH9:BI9"/>
    <mergeCell ref="BF9:BG9"/>
    <mergeCell ref="BD24:BE24"/>
    <mergeCell ref="BF24:BG24"/>
    <mergeCell ref="BH24:BI24"/>
    <mergeCell ref="BJ24:BK24"/>
    <mergeCell ref="AP239:AR239"/>
    <mergeCell ref="AS239:AU239"/>
    <mergeCell ref="AV239:AX239"/>
    <mergeCell ref="AY239:BA239"/>
    <mergeCell ref="AP254:AR254"/>
    <mergeCell ref="AS254:AU254"/>
    <mergeCell ref="AV254:AX254"/>
    <mergeCell ref="AY254:BA254"/>
    <mergeCell ref="AP209:AR209"/>
    <mergeCell ref="AS209:AU209"/>
    <mergeCell ref="AV209:AX209"/>
    <mergeCell ref="AY209:BA209"/>
    <mergeCell ref="AP224:AR224"/>
    <mergeCell ref="AS224:AU224"/>
    <mergeCell ref="AV224:AX224"/>
    <mergeCell ref="AY224:BA224"/>
    <mergeCell ref="AP179:AR179"/>
    <mergeCell ref="AS179:AU179"/>
    <mergeCell ref="AV179:AX179"/>
    <mergeCell ref="AY179:BA179"/>
    <mergeCell ref="AP194:AR194"/>
    <mergeCell ref="AS194:AU194"/>
    <mergeCell ref="AV194:AX194"/>
    <mergeCell ref="AY194:BA194"/>
    <mergeCell ref="AP149:AR149"/>
    <mergeCell ref="AS149:AU149"/>
    <mergeCell ref="AV149:AX149"/>
    <mergeCell ref="AY149:BA149"/>
    <mergeCell ref="AP164:AR164"/>
    <mergeCell ref="AS164:AU164"/>
    <mergeCell ref="AV164:AX164"/>
    <mergeCell ref="AY164:BA164"/>
    <mergeCell ref="AP118:AR118"/>
    <mergeCell ref="AS118:AU118"/>
    <mergeCell ref="AV118:AX118"/>
    <mergeCell ref="AY118:BA118"/>
    <mergeCell ref="AP134:AR134"/>
    <mergeCell ref="AS134:AU134"/>
    <mergeCell ref="AV134:AX134"/>
    <mergeCell ref="AY134:BA134"/>
    <mergeCell ref="AP85:AR85"/>
    <mergeCell ref="AS85:AU85"/>
    <mergeCell ref="AV85:AX85"/>
    <mergeCell ref="AY85:BA85"/>
    <mergeCell ref="AP102:AR102"/>
    <mergeCell ref="AS102:AU102"/>
    <mergeCell ref="AV102:AX102"/>
    <mergeCell ref="AY102:BA102"/>
    <mergeCell ref="AS69:AU69"/>
    <mergeCell ref="AV69:AX69"/>
    <mergeCell ref="AY69:BA69"/>
    <mergeCell ref="AP24:AR24"/>
    <mergeCell ref="AS24:AU24"/>
    <mergeCell ref="AV24:AX24"/>
    <mergeCell ref="AY24:BA24"/>
    <mergeCell ref="AP39:AR39"/>
    <mergeCell ref="AS39:AU39"/>
    <mergeCell ref="AV39:AX39"/>
    <mergeCell ref="AY39:BA39"/>
    <mergeCell ref="J239:L239"/>
    <mergeCell ref="M239:O239"/>
    <mergeCell ref="P239:R239"/>
    <mergeCell ref="S239:U239"/>
    <mergeCell ref="J254:L254"/>
    <mergeCell ref="M254:O254"/>
    <mergeCell ref="P254:R254"/>
    <mergeCell ref="S254:U254"/>
    <mergeCell ref="J209:L209"/>
    <mergeCell ref="M209:O209"/>
    <mergeCell ref="P209:R209"/>
    <mergeCell ref="S209:U209"/>
    <mergeCell ref="J224:L224"/>
    <mergeCell ref="M224:O224"/>
    <mergeCell ref="P224:R224"/>
    <mergeCell ref="S224:U224"/>
    <mergeCell ref="J179:L179"/>
    <mergeCell ref="M179:O179"/>
    <mergeCell ref="P179:R179"/>
    <mergeCell ref="S179:U179"/>
    <mergeCell ref="J194:L194"/>
    <mergeCell ref="M194:O194"/>
    <mergeCell ref="P194:R194"/>
    <mergeCell ref="S194:U194"/>
    <mergeCell ref="J149:L149"/>
    <mergeCell ref="M149:O149"/>
    <mergeCell ref="P149:R149"/>
    <mergeCell ref="S149:U149"/>
    <mergeCell ref="J164:L164"/>
    <mergeCell ref="M164:O164"/>
    <mergeCell ref="P164:R164"/>
    <mergeCell ref="S164:U164"/>
    <mergeCell ref="J118:L118"/>
    <mergeCell ref="M118:O118"/>
    <mergeCell ref="P118:R118"/>
    <mergeCell ref="S118:U118"/>
    <mergeCell ref="J134:L134"/>
    <mergeCell ref="M134:O134"/>
    <mergeCell ref="P134:R134"/>
    <mergeCell ref="S134:U134"/>
    <mergeCell ref="J85:L85"/>
    <mergeCell ref="M85:O85"/>
    <mergeCell ref="P85:R85"/>
    <mergeCell ref="S85:U85"/>
    <mergeCell ref="J102:L102"/>
    <mergeCell ref="M102:O102"/>
    <mergeCell ref="P102:R102"/>
    <mergeCell ref="S102:U102"/>
    <mergeCell ref="J69:L69"/>
    <mergeCell ref="M69:O69"/>
    <mergeCell ref="P69:R69"/>
    <mergeCell ref="S69:U69"/>
    <mergeCell ref="AP9:AR9"/>
    <mergeCell ref="J24:L24"/>
    <mergeCell ref="M24:O24"/>
    <mergeCell ref="P24:R24"/>
    <mergeCell ref="S24:U24"/>
    <mergeCell ref="J39:L39"/>
    <mergeCell ref="M39:O39"/>
    <mergeCell ref="P39:R39"/>
    <mergeCell ref="S39:U39"/>
    <mergeCell ref="AP54:AR54"/>
    <mergeCell ref="AP69:AR69"/>
    <mergeCell ref="AC39:AE39"/>
    <mergeCell ref="AF39:AH39"/>
    <mergeCell ref="AI39:AK39"/>
    <mergeCell ref="Z54:AB54"/>
    <mergeCell ref="AC54:AE54"/>
    <mergeCell ref="AF54:AH54"/>
    <mergeCell ref="AI54:AK54"/>
    <mergeCell ref="Z69:AB69"/>
    <mergeCell ref="AC69:AE69"/>
    <mergeCell ref="AS9:AU9"/>
    <mergeCell ref="AV9:AX9"/>
    <mergeCell ref="AY9:BA9"/>
    <mergeCell ref="D9:E9"/>
    <mergeCell ref="J9:L9"/>
    <mergeCell ref="M9:O9"/>
    <mergeCell ref="P9:R9"/>
    <mergeCell ref="S9:U9"/>
    <mergeCell ref="J54:L54"/>
    <mergeCell ref="M54:O54"/>
    <mergeCell ref="P54:R54"/>
    <mergeCell ref="S54:U54"/>
    <mergeCell ref="AS54:AU54"/>
    <mergeCell ref="AV54:AX54"/>
    <mergeCell ref="AY54:BA54"/>
    <mergeCell ref="Z9:AB9"/>
    <mergeCell ref="AC9:AE9"/>
    <mergeCell ref="AF9:AH9"/>
    <mergeCell ref="AI9:AK9"/>
    <mergeCell ref="Z24:AB24"/>
    <mergeCell ref="AC24:AE24"/>
    <mergeCell ref="AF24:AH24"/>
    <mergeCell ref="AI24:AK24"/>
    <mergeCell ref="Z39:AB39"/>
    <mergeCell ref="AF69:AH69"/>
    <mergeCell ref="AI69:AK69"/>
    <mergeCell ref="Z85:AB85"/>
    <mergeCell ref="AC85:AE85"/>
    <mergeCell ref="AF85:AH85"/>
    <mergeCell ref="AI85:AK85"/>
    <mergeCell ref="Z102:AB102"/>
    <mergeCell ref="AC102:AE102"/>
    <mergeCell ref="AF102:AH102"/>
    <mergeCell ref="AI102:AK102"/>
    <mergeCell ref="Z118:AB118"/>
    <mergeCell ref="AC118:AE118"/>
    <mergeCell ref="AF118:AH118"/>
    <mergeCell ref="AI118:AK118"/>
    <mergeCell ref="Z134:AB134"/>
    <mergeCell ref="AC134:AE134"/>
    <mergeCell ref="AF134:AH134"/>
    <mergeCell ref="AI134:AK134"/>
    <mergeCell ref="Z149:AB149"/>
    <mergeCell ref="AC149:AE149"/>
    <mergeCell ref="AF149:AH149"/>
    <mergeCell ref="AI149:AK149"/>
    <mergeCell ref="Z164:AB164"/>
    <mergeCell ref="AC164:AE164"/>
    <mergeCell ref="AF164:AH164"/>
    <mergeCell ref="AI164:AK164"/>
    <mergeCell ref="Z179:AB179"/>
    <mergeCell ref="AC179:AE179"/>
    <mergeCell ref="AF179:AH179"/>
    <mergeCell ref="AI179:AK179"/>
    <mergeCell ref="Z194:AB194"/>
    <mergeCell ref="AC194:AE194"/>
    <mergeCell ref="AF194:AH194"/>
    <mergeCell ref="AI194:AK194"/>
    <mergeCell ref="Z254:AB254"/>
    <mergeCell ref="AC254:AE254"/>
    <mergeCell ref="AF254:AH254"/>
    <mergeCell ref="AI254:AK254"/>
    <mergeCell ref="Z209:AB209"/>
    <mergeCell ref="AC209:AE209"/>
    <mergeCell ref="AF209:AH209"/>
    <mergeCell ref="AI209:AK209"/>
    <mergeCell ref="Z224:AB224"/>
    <mergeCell ref="AC224:AE224"/>
    <mergeCell ref="AF224:AH224"/>
    <mergeCell ref="AI224:AK224"/>
    <mergeCell ref="Z239:AB239"/>
    <mergeCell ref="AC239:AE239"/>
    <mergeCell ref="AF239:AH239"/>
    <mergeCell ref="AI239:AK239"/>
  </mergeCells>
  <pageMargins left="0.75" right="0.75" top="1" bottom="1" header="0.5" footer="0.5"/>
  <pageSetup paperSize="2058" orientation="portrait" horizontalDpi="4294967294" verticalDpi="4294967294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="113" workbookViewId="0">
      <selection activeCell="C13" sqref="C13"/>
    </sheetView>
  </sheetViews>
  <sheetFormatPr defaultRowHeight="14.4"/>
  <cols>
    <col min="1" max="4" width="14.33203125" customWidth="1"/>
  </cols>
  <sheetData>
    <row r="1" spans="1:4" ht="15.6">
      <c r="A1" s="61" t="s">
        <v>98</v>
      </c>
      <c r="B1" s="9"/>
      <c r="C1" s="9"/>
      <c r="D1" s="9"/>
    </row>
    <row r="2" spans="1:4">
      <c r="A2" s="313" t="s">
        <v>91</v>
      </c>
      <c r="B2" s="313"/>
      <c r="C2" s="313"/>
      <c r="D2" s="313"/>
    </row>
    <row r="3" spans="1:4">
      <c r="A3" s="314" t="s">
        <v>97</v>
      </c>
      <c r="B3" s="317" t="s">
        <v>86</v>
      </c>
      <c r="C3" s="318"/>
      <c r="D3" s="319"/>
    </row>
    <row r="4" spans="1:4">
      <c r="A4" s="315"/>
      <c r="B4" s="57" t="s">
        <v>90</v>
      </c>
      <c r="C4" s="53" t="s">
        <v>89</v>
      </c>
      <c r="D4" s="58" t="s">
        <v>157</v>
      </c>
    </row>
    <row r="5" spans="1:4">
      <c r="A5" s="316"/>
      <c r="B5" s="53" t="s">
        <v>87</v>
      </c>
      <c r="C5" s="53" t="s">
        <v>88</v>
      </c>
      <c r="D5" s="58" t="s">
        <v>156</v>
      </c>
    </row>
    <row r="6" spans="1:4">
      <c r="A6" s="35" t="s">
        <v>92</v>
      </c>
      <c r="B6" s="56">
        <v>80000</v>
      </c>
      <c r="C6" s="59">
        <f>B6*Legenda!A10</f>
        <v>0</v>
      </c>
      <c r="D6" s="60">
        <f>C6/1000</f>
        <v>0</v>
      </c>
    </row>
    <row r="7" spans="1:4">
      <c r="A7" s="35" t="s">
        <v>93</v>
      </c>
      <c r="B7" s="56">
        <v>110000</v>
      </c>
      <c r="C7" s="59">
        <f>B7*Legenda!A10</f>
        <v>0</v>
      </c>
      <c r="D7" s="60">
        <f>C7/1000</f>
        <v>0</v>
      </c>
    </row>
    <row r="8" spans="1:4">
      <c r="A8" s="35" t="s">
        <v>94</v>
      </c>
      <c r="B8" s="56">
        <v>165000</v>
      </c>
      <c r="C8" s="59">
        <f>B8*Legenda!A10</f>
        <v>0</v>
      </c>
      <c r="D8" s="60">
        <f>C8/1000</f>
        <v>0</v>
      </c>
    </row>
    <row r="9" spans="1:4">
      <c r="A9" s="35" t="s">
        <v>95</v>
      </c>
      <c r="B9" s="56">
        <v>260000</v>
      </c>
      <c r="C9" s="59">
        <f>B9*Legenda!A10</f>
        <v>0</v>
      </c>
      <c r="D9" s="60">
        <f>C9/1000</f>
        <v>0</v>
      </c>
    </row>
    <row r="10" spans="1:4">
      <c r="A10" s="35" t="s">
        <v>96</v>
      </c>
      <c r="B10" s="56">
        <v>370000</v>
      </c>
      <c r="C10" s="59">
        <f>B10*Legenda!A10</f>
        <v>0</v>
      </c>
      <c r="D10" s="60">
        <f>C10/1000</f>
        <v>0</v>
      </c>
    </row>
  </sheetData>
  <mergeCells count="3">
    <mergeCell ref="A2:D2"/>
    <mergeCell ref="A3:A5"/>
    <mergeCell ref="B3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Legenda</vt:lpstr>
      <vt:lpstr>Výpočet_normalizovaný</vt:lpstr>
      <vt:lpstr>Výpočet_lokalita</vt:lpstr>
      <vt:lpstr>Mesačný priemer vonk. teploty</vt:lpstr>
      <vt:lpstr>Intenzita sln. žiarenia</vt:lpstr>
      <vt:lpstr>Trieda budovy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Krajčík</dc:creator>
  <cp:lastModifiedBy>Karolína Gábrišová</cp:lastModifiedBy>
  <cp:lastPrinted>2021-04-03T13:37:34Z</cp:lastPrinted>
  <dcterms:created xsi:type="dcterms:W3CDTF">2020-05-15T12:16:29Z</dcterms:created>
  <dcterms:modified xsi:type="dcterms:W3CDTF">2025-10-06T10:52:18Z</dcterms:modified>
</cp:coreProperties>
</file>