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liam/Documents/Documents - SueMBP12 (1023)/College/Research/Nagy/"/>
    </mc:Choice>
  </mc:AlternateContent>
  <xr:revisionPtr revIDLastSave="0" documentId="13_ncr:1_{20DE66AB-3FD3-964A-B262-00009009E956}" xr6:coauthVersionLast="47" xr6:coauthVersionMax="47" xr10:uidLastSave="{00000000-0000-0000-0000-000000000000}"/>
  <bookViews>
    <workbookView xWindow="-8400" yWindow="460" windowWidth="28800" windowHeight="15540" xr2:uid="{964DC40E-73CD-764B-ACEB-B3A40B7E4A3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1" l="1"/>
  <c r="W2" i="1"/>
  <c r="O11" i="1"/>
  <c r="P11" i="1" s="1"/>
  <c r="O12" i="1"/>
  <c r="P12" i="1" s="1"/>
  <c r="O13" i="1"/>
  <c r="O14" i="1"/>
  <c r="O15" i="1"/>
  <c r="O16" i="1"/>
  <c r="P16" i="1" s="1"/>
  <c r="W7" i="1" s="1"/>
  <c r="P13" i="1"/>
  <c r="P14" i="1"/>
  <c r="P15" i="1"/>
  <c r="V2" i="1"/>
  <c r="T3" i="1"/>
  <c r="T4" i="1"/>
  <c r="T5" i="1"/>
  <c r="T6" i="1"/>
  <c r="T7" i="1"/>
  <c r="T2" i="1"/>
  <c r="Q3" i="1"/>
  <c r="Q4" i="1"/>
  <c r="Q5" i="1"/>
  <c r="Q6" i="1"/>
  <c r="Q7" i="1"/>
  <c r="Q2" i="1"/>
  <c r="P3" i="1"/>
  <c r="P4" i="1"/>
  <c r="P5" i="1"/>
  <c r="P6" i="1"/>
  <c r="P7" i="1"/>
  <c r="P2" i="1"/>
  <c r="S3" i="1"/>
  <c r="S4" i="1"/>
  <c r="S5" i="1"/>
  <c r="S6" i="1"/>
  <c r="S7" i="1"/>
  <c r="S2" i="1"/>
  <c r="R3" i="1"/>
  <c r="R4" i="1"/>
  <c r="R5" i="1"/>
  <c r="R6" i="1"/>
  <c r="R7" i="1"/>
  <c r="R2" i="1"/>
  <c r="D17" i="1"/>
  <c r="D18" i="1"/>
  <c r="D19" i="1"/>
  <c r="D20" i="1"/>
  <c r="D16" i="1"/>
  <c r="A21" i="1"/>
  <c r="A17" i="1"/>
  <c r="A18" i="1"/>
  <c r="A19" i="1"/>
  <c r="A20" i="1"/>
  <c r="A16" i="1"/>
  <c r="K3" i="1"/>
  <c r="K4" i="1" s="1"/>
  <c r="K5" i="1" s="1"/>
  <c r="K6" i="1" s="1"/>
  <c r="K7" i="1" s="1"/>
  <c r="D2" i="1"/>
  <c r="G2" i="1" s="1"/>
  <c r="C2" i="1"/>
  <c r="C3" i="1" s="1"/>
  <c r="C4" i="1" s="1"/>
  <c r="C5" i="1" s="1"/>
  <c r="C6" i="1" s="1"/>
  <c r="C7" i="1" s="1"/>
  <c r="B2" i="1"/>
  <c r="B3" i="1" s="1"/>
  <c r="O3" i="1" s="1"/>
  <c r="W4" i="1" l="1"/>
  <c r="W6" i="1"/>
  <c r="W5" i="1"/>
  <c r="V11" i="1"/>
  <c r="J3" i="1"/>
  <c r="O2" i="1"/>
  <c r="L2" i="1"/>
  <c r="N2" i="1"/>
  <c r="J2" i="1"/>
  <c r="E2" i="1"/>
  <c r="B4" i="1"/>
  <c r="D3" i="1"/>
  <c r="E3" i="1" l="1"/>
  <c r="N3" i="1"/>
  <c r="O4" i="1"/>
  <c r="J4" i="1"/>
  <c r="M3" i="1" s="1"/>
  <c r="L3" i="1"/>
  <c r="M2" i="1"/>
  <c r="F2" i="1"/>
  <c r="I2" i="1" s="1"/>
  <c r="H2" i="1" s="1"/>
  <c r="G3" i="1"/>
  <c r="D4" i="1"/>
  <c r="B5" i="1"/>
  <c r="J5" i="1" l="1"/>
  <c r="L4" i="1"/>
  <c r="O5" i="1"/>
  <c r="E4" i="1"/>
  <c r="F3" i="1" s="1"/>
  <c r="I3" i="1" s="1"/>
  <c r="H3" i="1" s="1"/>
  <c r="N4" i="1"/>
  <c r="D5" i="1"/>
  <c r="G4" i="1"/>
  <c r="B6" i="1"/>
  <c r="U2" i="1" l="1"/>
  <c r="X2" i="1" s="1"/>
  <c r="B16" i="1" s="1"/>
  <c r="N5" i="1"/>
  <c r="E5" i="1"/>
  <c r="F4" i="1" s="1"/>
  <c r="I4" i="1" s="1"/>
  <c r="H4" i="1" s="1"/>
  <c r="J6" i="1"/>
  <c r="M5" i="1" s="1"/>
  <c r="L5" i="1"/>
  <c r="O6" i="1"/>
  <c r="M4" i="1"/>
  <c r="B7" i="1"/>
  <c r="D6" i="1"/>
  <c r="G5" i="1"/>
  <c r="U3" i="1" l="1"/>
  <c r="V3" i="1" s="1"/>
  <c r="X3" i="1" s="1"/>
  <c r="B17" i="1" s="1"/>
  <c r="J7" i="1"/>
  <c r="M7" i="1" s="1"/>
  <c r="L6" i="1"/>
  <c r="L7" i="1"/>
  <c r="O7" i="1"/>
  <c r="N6" i="1"/>
  <c r="E6" i="1"/>
  <c r="M6" i="1"/>
  <c r="D7" i="1"/>
  <c r="F5" i="1"/>
  <c r="I5" i="1" s="1"/>
  <c r="H5" i="1" s="1"/>
  <c r="G6" i="1"/>
  <c r="U4" i="1" l="1"/>
  <c r="V4" i="1" s="1"/>
  <c r="X4" i="1" s="1"/>
  <c r="B18" i="1" s="1"/>
  <c r="E7" i="1"/>
  <c r="N7" i="1"/>
  <c r="G7" i="1"/>
  <c r="U5" i="1" l="1"/>
  <c r="V5" i="1" s="1"/>
  <c r="X5" i="1" s="1"/>
  <c r="B19" i="1" s="1"/>
  <c r="H7" i="1"/>
  <c r="F7" i="1"/>
  <c r="I7" i="1" s="1"/>
  <c r="F6" i="1"/>
  <c r="I6" i="1" s="1"/>
  <c r="H6" i="1" s="1"/>
  <c r="U7" i="1" l="1"/>
  <c r="V7" i="1" s="1"/>
  <c r="X7" i="1" s="1"/>
  <c r="U6" i="1"/>
  <c r="V6" i="1" s="1"/>
  <c r="X6" i="1" s="1"/>
  <c r="B20" i="1" s="1"/>
</calcChain>
</file>

<file path=xl/sharedStrings.xml><?xml version="1.0" encoding="utf-8"?>
<sst xmlns="http://schemas.openxmlformats.org/spreadsheetml/2006/main" count="27" uniqueCount="27">
  <si>
    <t>Aperture Heat Load</t>
  </si>
  <si>
    <t>X partial</t>
  </si>
  <si>
    <t>Xnought</t>
  </si>
  <si>
    <t>Cylinder Surface Area</t>
  </si>
  <si>
    <t>Emissivity</t>
  </si>
  <si>
    <t>F12 Aperture</t>
  </si>
  <si>
    <t>Disk Inner Radius</t>
  </si>
  <si>
    <t>Disk Outer Radius</t>
  </si>
  <si>
    <t>H (assume spacing is 0.5 in)</t>
  </si>
  <si>
    <t>R2</t>
  </si>
  <si>
    <t>R3</t>
  </si>
  <si>
    <t>R4</t>
  </si>
  <si>
    <t>F12 Ring</t>
  </si>
  <si>
    <t>Disk Heat Load (DO I MULTIPLY BY EMISSIVITY?)</t>
  </si>
  <si>
    <t>Disk Load times Emissivity</t>
  </si>
  <si>
    <t>F12 Cylinder (Used infinite concentric cylinder model)</t>
  </si>
  <si>
    <t>Cylinder Heat Load (CHECK)</t>
  </si>
  <si>
    <t>Total Heat Load</t>
  </si>
  <si>
    <t>Height (m)</t>
  </si>
  <si>
    <t>Aperture Diameter (m)</t>
  </si>
  <si>
    <t>Cylinder Diameter (m)</t>
  </si>
  <si>
    <t>Temperature (K)</t>
  </si>
  <si>
    <t>Aperture Area (m^2)</t>
  </si>
  <si>
    <t>Wavelength</t>
  </si>
  <si>
    <t>Transmissivity</t>
  </si>
  <si>
    <t>SA</t>
  </si>
  <si>
    <t>F21 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</si>
</sst>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212121"/>
      <name val="Courier New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11" fontId="0" fillId="0" borderId="0" xfId="0" applyNumberFormat="1"/>
    <xf numFmtId="11" fontId="1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Entire Wavelength Spectrum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0469816272965886E-2"/>
          <c:y val="0.17171296296296298"/>
          <c:w val="0.88386351706036748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Sheet1!$A$16:$A$20</c:f>
              <c:numCache>
                <c:formatCode>General</c:formatCode>
                <c:ptCount val="5"/>
                <c:pt idx="0">
                  <c:v>300</c:v>
                </c:pt>
                <c:pt idx="1">
                  <c:v>180</c:v>
                </c:pt>
                <c:pt idx="2">
                  <c:v>45</c:v>
                </c:pt>
                <c:pt idx="3">
                  <c:v>4</c:v>
                </c:pt>
                <c:pt idx="4">
                  <c:v>1.5</c:v>
                </c:pt>
              </c:numCache>
            </c:numRef>
          </c:xVal>
          <c:yVal>
            <c:numRef>
              <c:f>Sheet1!$B$16:$B$20</c:f>
              <c:numCache>
                <c:formatCode>General</c:formatCode>
                <c:ptCount val="5"/>
                <c:pt idx="0">
                  <c:v>64.712142069375474</c:v>
                </c:pt>
                <c:pt idx="1">
                  <c:v>3.9180585537171284</c:v>
                </c:pt>
                <c:pt idx="2">
                  <c:v>6.3142366064239423E-3</c:v>
                </c:pt>
                <c:pt idx="3">
                  <c:v>2.5563187164403915E-7</c:v>
                </c:pt>
                <c:pt idx="4">
                  <c:v>3.3963347145331761E-9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A-2E4A-971A-9825B7A6B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8146128"/>
        <c:axId val="398147776"/>
      </c:scatterChart>
      <c:valAx>
        <c:axId val="39814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7776"/>
        <c:crosses val="autoZero"/>
        <c:crossBetween val="midCat"/>
      </c:valAx>
      <c:valAx>
        <c:axId val="39814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14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125-165 GHz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Sheet1!$A$16:$A$21</c:f>
              <c:numCache>
                <c:formatCode>General</c:formatCode>
                <c:ptCount val="6"/>
                <c:pt idx="0">
                  <c:v>300</c:v>
                </c:pt>
                <c:pt idx="1">
                  <c:v>180</c:v>
                </c:pt>
                <c:pt idx="2">
                  <c:v>45</c:v>
                </c:pt>
                <c:pt idx="3">
                  <c:v>4</c:v>
                </c:pt>
                <c:pt idx="4">
                  <c:v>1.5</c:v>
                </c:pt>
                <c:pt idx="5">
                  <c:v>0.1</c:v>
                </c:pt>
              </c:numCache>
            </c:numRef>
          </c:xVal>
          <c:yVal>
            <c:numRef>
              <c:f>Sheet1!$D$16:$D$21</c:f>
              <c:numCache>
                <c:formatCode>0.00E+00</c:formatCode>
                <c:ptCount val="6"/>
                <c:pt idx="0">
                  <c:v>1.5431460897767941E-5</c:v>
                </c:pt>
                <c:pt idx="1">
                  <c:v>5.5116009393901679E-6</c:v>
                </c:pt>
                <c:pt idx="2">
                  <c:v>3.2452255997108099E-7</c:v>
                </c:pt>
                <c:pt idx="3">
                  <c:v>1.01600091562852E-9</c:v>
                </c:pt>
                <c:pt idx="4">
                  <c:v>1.7472555927907301E-11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2-754E-92E4-7646A9607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65376"/>
        <c:axId val="390167024"/>
      </c:scatterChart>
      <c:valAx>
        <c:axId val="39016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7024"/>
        <c:crosses val="autoZero"/>
        <c:crossBetween val="midCat"/>
      </c:valAx>
      <c:valAx>
        <c:axId val="39016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6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11</xdr:row>
      <xdr:rowOff>38100</xdr:rowOff>
    </xdr:from>
    <xdr:to>
      <xdr:col>11</xdr:col>
      <xdr:colOff>209550</xdr:colOff>
      <xdr:row>23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024A6B-5ADE-DE4E-BDDE-E18C595A8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527050</xdr:colOff>
      <xdr:row>23</xdr:row>
      <xdr:rowOff>50800</xdr:rowOff>
    </xdr:from>
    <xdr:to>
      <xdr:col>11</xdr:col>
      <xdr:colOff>603250</xdr:colOff>
      <xdr:row>36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F872BE-E8E3-804F-8C14-514D459AF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57757-61FB-3746-8F00-5C0C3B0E4A50}">
  <dimension ref="A1:X28"/>
  <sheetViews>
    <sheetView tabSelected="1" topLeftCell="L1" workbookViewId="0">
      <selection activeCell="W2" sqref="W2"/>
    </sheetView>
  </sheetViews>
  <sheetFormatPr baseColWidth="10" defaultRowHeight="16" x14ac:dyDescent="0.2"/>
  <cols>
    <col min="1" max="1" width="14.33203125" bestFit="1" customWidth="1"/>
    <col min="2" max="2" width="26.83203125" bestFit="1" customWidth="1"/>
    <col min="3" max="3" width="30" bestFit="1" customWidth="1"/>
    <col min="4" max="4" width="20.83203125" bestFit="1" customWidth="1"/>
    <col min="6" max="6" width="12.6640625" bestFit="1" customWidth="1"/>
    <col min="7" max="8" width="17.1640625" bestFit="1" customWidth="1"/>
    <col min="9" max="9" width="12.1640625" bestFit="1" customWidth="1"/>
    <col min="10" max="10" width="18.83203125" bestFit="1" customWidth="1"/>
    <col min="12" max="12" width="45.83203125" bestFit="1" customWidth="1"/>
    <col min="13" max="13" width="23.6640625" bestFit="1" customWidth="1"/>
    <col min="14" max="14" width="16.83203125" bestFit="1" customWidth="1"/>
    <col min="15" max="15" width="15.6640625" bestFit="1" customWidth="1"/>
    <col min="16" max="16" width="24.33203125" bestFit="1" customWidth="1"/>
    <col min="22" max="22" width="41.5" bestFit="1" customWidth="1"/>
    <col min="23" max="23" width="23" bestFit="1" customWidth="1"/>
    <col min="24" max="24" width="14.5" bestFit="1" customWidth="1"/>
  </cols>
  <sheetData>
    <row r="1" spans="1:24" x14ac:dyDescent="0.2">
      <c r="A1" t="s">
        <v>21</v>
      </c>
      <c r="B1" t="s">
        <v>20</v>
      </c>
      <c r="C1" t="s">
        <v>18</v>
      </c>
      <c r="D1" t="s">
        <v>19</v>
      </c>
      <c r="E1" t="s">
        <v>1</v>
      </c>
      <c r="F1" t="s">
        <v>2</v>
      </c>
      <c r="G1" t="s">
        <v>22</v>
      </c>
      <c r="H1" t="s">
        <v>0</v>
      </c>
      <c r="I1" t="s">
        <v>5</v>
      </c>
      <c r="J1" t="s">
        <v>3</v>
      </c>
      <c r="K1" t="s">
        <v>4</v>
      </c>
      <c r="L1" s="1" t="s">
        <v>15</v>
      </c>
      <c r="M1" t="s">
        <v>16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26</v>
      </c>
      <c r="V1" t="s">
        <v>13</v>
      </c>
      <c r="W1" t="s">
        <v>14</v>
      </c>
      <c r="X1" t="s">
        <v>17</v>
      </c>
    </row>
    <row r="2" spans="1:24" x14ac:dyDescent="0.2">
      <c r="A2">
        <v>300</v>
      </c>
      <c r="B2">
        <f>20/39.37</f>
        <v>0.50800101600203207</v>
      </c>
      <c r="C2">
        <f>30/39.37</f>
        <v>0.7620015240030481</v>
      </c>
      <c r="D2">
        <f>10/39.37</f>
        <v>0.25400050800101603</v>
      </c>
      <c r="E2">
        <f>(D2/2)/(0.5/39.37)</f>
        <v>10</v>
      </c>
      <c r="F2">
        <f>1+((1+E3^2)/E2^2)</f>
        <v>1.8199999999999998</v>
      </c>
      <c r="G2">
        <f t="shared" ref="G2:G7" si="0">(D2/2)^2*3.14159</f>
        <v>5.0670907793428498E-2</v>
      </c>
      <c r="H2">
        <f>(5.67*10^-8)*(A2^4-A3^4)*G2*I2</f>
        <v>15.707503002850929</v>
      </c>
      <c r="I2">
        <f>0.5*(F2-(F2^2-4*(E3/E2)^2)^0.5)</f>
        <v>0.77546375952926361</v>
      </c>
      <c r="J2">
        <f>(B2*3.14159*C2)+(3.14159*(B2/2)^2)</f>
        <v>1.418785418215998</v>
      </c>
      <c r="K2">
        <v>0.2</v>
      </c>
      <c r="L2" s="1">
        <f>(B3/2)/(B2/2)</f>
        <v>0.95</v>
      </c>
      <c r="M2">
        <f>((5.67*10^-8)*J2*(A2^4-A3^4))/((1/K3)+((J3/J2)*((1/K2)-1)))*L2</f>
        <v>44.908878923801275</v>
      </c>
      <c r="N2">
        <f>D2/2</f>
        <v>0.12700025400050802</v>
      </c>
      <c r="O2">
        <f>B2/2</f>
        <v>0.25400050800101603</v>
      </c>
      <c r="P2">
        <f>(0.5/39.37)/N3</f>
        <v>0.1111111111111111</v>
      </c>
      <c r="Q2">
        <f>O3/N3</f>
        <v>2.1111111111111112</v>
      </c>
      <c r="R2">
        <f>N2/N3</f>
        <v>1.1111111111111112</v>
      </c>
      <c r="S2">
        <f>O2/N3</f>
        <v>2.2222222222222223</v>
      </c>
      <c r="T2">
        <f>(1/(2*(Q2^2-1)))*(((Q2^2+R2^2+P2^2)^2-(2*R2*Q2)^2)^0.5-((Q2^2+S2^2+P2^2)^2-(2*Q2*S2)^2)^0.5+((1+S2^2+P2^2)^2-(2*S2)^2)^0.5-((1+R2^2+P2^2)^2-(2*R2)^2)^0.5)</f>
        <v>0.89497927703972102</v>
      </c>
      <c r="U2">
        <f>(((3.14159*O2*O2-3.14159*N2*N2)/(3.14159*O3*O3-3.14159*N3*N3)))^-1*T2</f>
        <v>0.83531399190373967</v>
      </c>
      <c r="V2">
        <f>(5.67*10^-8)*(A2^4-A3^4)*((3.14159*O2^2)-(3.14159*N2^2))*U2</f>
        <v>50.759420572211482</v>
      </c>
      <c r="W2">
        <f>V2*(K2*(P11/(P11+P12))+K3*(P12/(P12+P11)))/2</f>
        <v>4.0957601427232708</v>
      </c>
      <c r="X2">
        <f>W2+M2+H2</f>
        <v>64.712142069375474</v>
      </c>
    </row>
    <row r="3" spans="1:24" x14ac:dyDescent="0.2">
      <c r="A3">
        <v>180</v>
      </c>
      <c r="B3">
        <f>B2-(1/39.37)</f>
        <v>0.48260096520193047</v>
      </c>
      <c r="C3">
        <f>C2-(1/39.37)</f>
        <v>0.73660147320294644</v>
      </c>
      <c r="D3">
        <f>D2-(1/39.37)</f>
        <v>0.22860045720091443</v>
      </c>
      <c r="E3">
        <f t="shared" ref="E3:E7" si="1">(D3/2)/(0.5/39.37)</f>
        <v>9</v>
      </c>
      <c r="F3">
        <f t="shared" ref="F3:F7" si="2">1+((1+E4^2)/E3^2)</f>
        <v>1.8024691358024691</v>
      </c>
      <c r="G3">
        <f t="shared" si="0"/>
        <v>4.1043435312677089E-2</v>
      </c>
      <c r="H3">
        <f t="shared" ref="H3:H7" si="3">(5.67*10^-8)*(A3^4-A4^4)*G3*I3</f>
        <v>1.8313256461880802</v>
      </c>
      <c r="I3">
        <f t="shared" ref="I3:I7" si="4">0.5*(F3-(F3^2-4*(E4/E3)^2)^0.5)</f>
        <v>0.7525729064346629</v>
      </c>
      <c r="J3">
        <f t="shared" ref="J3:J7" si="5">(B3*3.14159*C3)+(3.14159*(B3/2)^2)</f>
        <v>1.299708784901441</v>
      </c>
      <c r="K3">
        <f>K2*(A3/A2)</f>
        <v>0.12</v>
      </c>
      <c r="L3" s="1">
        <f t="shared" ref="L3:L7" si="6">(B4/2)/(B3/2)</f>
        <v>0.94736842105263153</v>
      </c>
      <c r="M3">
        <f t="shared" ref="M3:M7" si="7">((5.67*10^-8)*J3*(A3^4-A4^4))/((1/K4)+((J4/J3)*((1/K3)-1)))*L3</f>
        <v>1.8239980197828189</v>
      </c>
      <c r="N3">
        <f t="shared" ref="N3:N7" si="8">D3/2</f>
        <v>0.11430022860045722</v>
      </c>
      <c r="O3">
        <f t="shared" ref="O3:O7" si="9">B3/2</f>
        <v>0.24130048260096523</v>
      </c>
      <c r="P3">
        <f t="shared" ref="P3:P7" si="10">(0.5/39.37)/N4</f>
        <v>0.125</v>
      </c>
      <c r="Q3">
        <f t="shared" ref="Q3:Q7" si="11">O4/N4</f>
        <v>2.25</v>
      </c>
      <c r="R3">
        <f t="shared" ref="R3:R7" si="12">N3/N4</f>
        <v>1.125</v>
      </c>
      <c r="S3">
        <f t="shared" ref="S3:S7" si="13">O3/N4</f>
        <v>2.375</v>
      </c>
      <c r="T3">
        <f t="shared" ref="T3:T7" si="14">(1/(2*(Q3^2-1)))*(((Q3^2+R3^2+P3^2)^2-(2*R3*Q3)^2)^0.5-((Q3^2+S3^2+P3^2)^2-(2*Q3*S3)^2)^0.5+((1+S3^2+P3^2)^2-(2*S3)^2)^0.5-((1+R3^2+P3^2)^2-(2*R3)^2)^0.5)</f>
        <v>0.89743087730269455</v>
      </c>
      <c r="U3">
        <f t="shared" ref="U3:U7" si="15">(((3.14159*O3*O3-3.14159*N3*N3)/(3.14159*O4*O4-3.14159*N4*N4)))^-1*T3</f>
        <v>0.83332867178107339</v>
      </c>
      <c r="V3">
        <f t="shared" ref="V3:V7" si="16">(5.67*10^-8)*(A3^4-A4^4)*((3.14*O3^2)-(3.14*N3^2))*U3</f>
        <v>7.0062636732327714</v>
      </c>
      <c r="W3">
        <f t="shared" ref="W3:W7" si="17">V3*(K3*(P12/(P12+O12))+K4*(P13/(P13+O13)))/2</f>
        <v>0.26273488774622894</v>
      </c>
      <c r="X3">
        <f t="shared" ref="X3:X7" si="18">W3+M3+H3</f>
        <v>3.9180585537171284</v>
      </c>
    </row>
    <row r="4" spans="1:24" x14ac:dyDescent="0.2">
      <c r="A4">
        <v>45</v>
      </c>
      <c r="B4">
        <f t="shared" ref="B4:B7" si="19">B3-(1/39.37)</f>
        <v>0.45720091440182886</v>
      </c>
      <c r="C4">
        <f t="shared" ref="C4:C7" si="20">C3-(1/39.37)</f>
        <v>0.7112014224028449</v>
      </c>
      <c r="D4">
        <f t="shared" ref="D4:D7" si="21">D3-(1/39.37)</f>
        <v>0.20320040640081283</v>
      </c>
      <c r="E4">
        <f t="shared" si="1"/>
        <v>8</v>
      </c>
      <c r="F4">
        <f t="shared" si="2"/>
        <v>1.78125</v>
      </c>
      <c r="G4">
        <f t="shared" si="0"/>
        <v>3.2429380987794243E-2</v>
      </c>
      <c r="H4">
        <f t="shared" si="3"/>
        <v>5.4626127688827721E-3</v>
      </c>
      <c r="I4">
        <f t="shared" si="4"/>
        <v>0.72452897167602104</v>
      </c>
      <c r="J4">
        <f t="shared" si="5"/>
        <v>1.1856992423662267</v>
      </c>
      <c r="K4">
        <f t="shared" ref="K4:K7" si="22">K3*(A4/A3)</f>
        <v>0.03</v>
      </c>
      <c r="L4" s="1">
        <f t="shared" si="6"/>
        <v>0.94444444444444442</v>
      </c>
      <c r="M4">
        <f t="shared" si="7"/>
        <v>6.438519981112464E-4</v>
      </c>
      <c r="N4">
        <f t="shared" si="8"/>
        <v>0.10160020320040641</v>
      </c>
      <c r="O4">
        <f t="shared" si="9"/>
        <v>0.22860045720091443</v>
      </c>
      <c r="P4">
        <f t="shared" si="10"/>
        <v>0.14285714285714285</v>
      </c>
      <c r="Q4">
        <f t="shared" si="11"/>
        <v>2.4285714285714284</v>
      </c>
      <c r="R4">
        <f t="shared" si="12"/>
        <v>1.1428571428571428</v>
      </c>
      <c r="S4">
        <f t="shared" si="13"/>
        <v>2.5714285714285716</v>
      </c>
      <c r="T4">
        <f t="shared" si="14"/>
        <v>0.90029696435570927</v>
      </c>
      <c r="U4">
        <f t="shared" si="15"/>
        <v>0.8310433517129624</v>
      </c>
      <c r="V4">
        <f t="shared" si="16"/>
        <v>2.5441449726113136E-2</v>
      </c>
      <c r="W4">
        <f t="shared" si="17"/>
        <v>2.0777183942992391E-4</v>
      </c>
      <c r="X4">
        <f t="shared" si="18"/>
        <v>6.3142366064239423E-3</v>
      </c>
    </row>
    <row r="5" spans="1:24" x14ac:dyDescent="0.2">
      <c r="A5">
        <v>4</v>
      </c>
      <c r="B5">
        <f t="shared" si="19"/>
        <v>0.43180086360172726</v>
      </c>
      <c r="C5">
        <f t="shared" si="20"/>
        <v>0.68580137160274335</v>
      </c>
      <c r="D5">
        <f t="shared" si="21"/>
        <v>0.17780035560071122</v>
      </c>
      <c r="E5">
        <f t="shared" si="1"/>
        <v>7</v>
      </c>
      <c r="F5">
        <f t="shared" si="2"/>
        <v>1.7551020408163265</v>
      </c>
      <c r="G5">
        <f t="shared" si="0"/>
        <v>2.4828744818779964E-2</v>
      </c>
      <c r="H5">
        <f t="shared" si="3"/>
        <v>2.4354140810684791E-7</v>
      </c>
      <c r="I5">
        <f t="shared" si="4"/>
        <v>0.68939705189198197</v>
      </c>
      <c r="J5">
        <f t="shared" si="5"/>
        <v>1.0767567906103557</v>
      </c>
      <c r="K5">
        <f t="shared" si="22"/>
        <v>2.6666666666666666E-3</v>
      </c>
      <c r="L5" s="1">
        <f t="shared" si="6"/>
        <v>0.94117647058823528</v>
      </c>
      <c r="M5">
        <f t="shared" si="7"/>
        <v>1.0777230229225118E-8</v>
      </c>
      <c r="N5">
        <f t="shared" si="8"/>
        <v>8.8900177800355612E-2</v>
      </c>
      <c r="O5">
        <f t="shared" si="9"/>
        <v>0.21590043180086363</v>
      </c>
      <c r="P5">
        <f t="shared" si="10"/>
        <v>0.16666666666666666</v>
      </c>
      <c r="Q5">
        <f t="shared" si="11"/>
        <v>2.6666666666666665</v>
      </c>
      <c r="R5">
        <f t="shared" si="12"/>
        <v>1.1666666666666667</v>
      </c>
      <c r="S5">
        <f t="shared" si="13"/>
        <v>2.8333333333333335</v>
      </c>
      <c r="T5">
        <f t="shared" si="14"/>
        <v>0.9036917476517583</v>
      </c>
      <c r="U5">
        <f t="shared" si="15"/>
        <v>0.82838410201411183</v>
      </c>
      <c r="V5">
        <f t="shared" si="16"/>
        <v>1.4326181541448643E-6</v>
      </c>
      <c r="W5">
        <f t="shared" si="17"/>
        <v>1.3132333079661255E-9</v>
      </c>
      <c r="X5">
        <f t="shared" si="18"/>
        <v>2.5563187164403915E-7</v>
      </c>
    </row>
    <row r="6" spans="1:24" x14ac:dyDescent="0.2">
      <c r="A6">
        <v>1.5</v>
      </c>
      <c r="B6">
        <f t="shared" si="19"/>
        <v>0.40640081280162565</v>
      </c>
      <c r="C6">
        <f t="shared" si="20"/>
        <v>0.6604013208026418</v>
      </c>
      <c r="D6">
        <f t="shared" si="21"/>
        <v>0.15240030480060962</v>
      </c>
      <c r="E6">
        <f t="shared" si="1"/>
        <v>6</v>
      </c>
      <c r="F6">
        <f t="shared" si="2"/>
        <v>1.7222222222222223</v>
      </c>
      <c r="G6">
        <f t="shared" si="0"/>
        <v>1.8241526805634262E-2</v>
      </c>
      <c r="H6">
        <f t="shared" si="3"/>
        <v>3.3728286176217899E-9</v>
      </c>
      <c r="I6">
        <f t="shared" si="4"/>
        <v>0.64415973122481507</v>
      </c>
      <c r="J6">
        <f t="shared" si="5"/>
        <v>0.9728814296338274</v>
      </c>
      <c r="K6">
        <f t="shared" si="22"/>
        <v>1E-3</v>
      </c>
      <c r="L6" s="1">
        <f t="shared" si="6"/>
        <v>0.9375</v>
      </c>
      <c r="M6">
        <f t="shared" si="7"/>
        <v>1.6467998002624163E-11</v>
      </c>
      <c r="N6">
        <f t="shared" si="8"/>
        <v>7.620015240030481E-2</v>
      </c>
      <c r="O6">
        <f t="shared" si="9"/>
        <v>0.20320040640081283</v>
      </c>
      <c r="P6">
        <f t="shared" si="10"/>
        <v>0.2</v>
      </c>
      <c r="Q6">
        <f t="shared" si="11"/>
        <v>3</v>
      </c>
      <c r="R6">
        <f t="shared" si="12"/>
        <v>1.2</v>
      </c>
      <c r="S6">
        <f t="shared" si="13"/>
        <v>3.2</v>
      </c>
      <c r="T6">
        <f t="shared" si="14"/>
        <v>0.90777515925840391</v>
      </c>
      <c r="U6">
        <f t="shared" si="15"/>
        <v>0.82525014478036696</v>
      </c>
      <c r="V6">
        <f t="shared" si="16"/>
        <v>2.6392870907858309E-8</v>
      </c>
      <c r="W6">
        <f t="shared" si="17"/>
        <v>7.0380989087622162E-12</v>
      </c>
      <c r="X6">
        <f t="shared" si="18"/>
        <v>3.3963347145331761E-9</v>
      </c>
    </row>
    <row r="7" spans="1:24" x14ac:dyDescent="0.2">
      <c r="A7">
        <v>0.1</v>
      </c>
      <c r="B7">
        <f t="shared" si="19"/>
        <v>0.38100076200152405</v>
      </c>
      <c r="C7">
        <f t="shared" si="20"/>
        <v>0.63500127000254025</v>
      </c>
      <c r="D7">
        <f t="shared" si="21"/>
        <v>0.12700025400050802</v>
      </c>
      <c r="E7">
        <f t="shared" si="1"/>
        <v>5</v>
      </c>
      <c r="F7">
        <f t="shared" si="2"/>
        <v>1.04</v>
      </c>
      <c r="G7">
        <f t="shared" si="0"/>
        <v>1.2667726948357124E-2</v>
      </c>
      <c r="H7">
        <f t="shared" si="3"/>
        <v>0</v>
      </c>
      <c r="I7">
        <f t="shared" si="4"/>
        <v>0</v>
      </c>
      <c r="J7">
        <f t="shared" si="5"/>
        <v>0.87407315943664177</v>
      </c>
      <c r="K7">
        <f t="shared" si="22"/>
        <v>6.666666666666667E-5</v>
      </c>
      <c r="L7" s="1">
        <f t="shared" si="6"/>
        <v>0</v>
      </c>
      <c r="M7" t="e">
        <f t="shared" si="7"/>
        <v>#DIV/0!</v>
      </c>
      <c r="N7">
        <f t="shared" si="8"/>
        <v>6.3500127000254009E-2</v>
      </c>
      <c r="O7">
        <f t="shared" si="9"/>
        <v>0.19050038100076203</v>
      </c>
      <c r="P7" t="e">
        <f t="shared" si="10"/>
        <v>#DIV/0!</v>
      </c>
      <c r="Q7" t="e">
        <f t="shared" si="11"/>
        <v>#DIV/0!</v>
      </c>
      <c r="R7" t="e">
        <f t="shared" si="12"/>
        <v>#DIV/0!</v>
      </c>
      <c r="S7" t="e">
        <f t="shared" si="13"/>
        <v>#DIV/0!</v>
      </c>
      <c r="T7" t="e">
        <f t="shared" si="14"/>
        <v>#DIV/0!</v>
      </c>
      <c r="U7" t="e">
        <f t="shared" si="15"/>
        <v>#DIV/0!</v>
      </c>
      <c r="V7" t="e">
        <f t="shared" si="16"/>
        <v>#DIV/0!</v>
      </c>
      <c r="W7" t="e">
        <f t="shared" si="17"/>
        <v>#DIV/0!</v>
      </c>
      <c r="X7" t="e">
        <f t="shared" si="18"/>
        <v>#DIV/0!</v>
      </c>
    </row>
    <row r="10" spans="1:24" x14ac:dyDescent="0.2">
      <c r="P10" t="s">
        <v>25</v>
      </c>
    </row>
    <row r="11" spans="1:24" x14ac:dyDescent="0.2">
      <c r="O11">
        <f>3.14159*O2*O2-3.14159*N2*N2</f>
        <v>0.15201272338028551</v>
      </c>
      <c r="P11">
        <f>O11-N11</f>
        <v>0.15201272338028551</v>
      </c>
      <c r="V11">
        <f>K2*(P11/(P11+P12))</f>
        <v>0.10344827586206895</v>
      </c>
    </row>
    <row r="12" spans="1:24" x14ac:dyDescent="0.2">
      <c r="O12">
        <f t="shared" ref="O12:O15" si="23">3.14159*O3*O3-3.14159*N3*N3</f>
        <v>0.14187854182159981</v>
      </c>
      <c r="P12">
        <f t="shared" ref="P12:P16" si="24">O12-N12</f>
        <v>0.14187854182159981</v>
      </c>
    </row>
    <row r="13" spans="1:24" x14ac:dyDescent="0.2">
      <c r="O13">
        <f t="shared" si="23"/>
        <v>0.13174436026291408</v>
      </c>
      <c r="P13">
        <f t="shared" si="24"/>
        <v>0.13174436026291408</v>
      </c>
    </row>
    <row r="14" spans="1:24" x14ac:dyDescent="0.2">
      <c r="O14">
        <f t="shared" si="23"/>
        <v>0.1216101787042284</v>
      </c>
      <c r="P14">
        <f t="shared" si="24"/>
        <v>0.1216101787042284</v>
      </c>
    </row>
    <row r="15" spans="1:24" x14ac:dyDescent="0.2">
      <c r="O15">
        <f t="shared" si="23"/>
        <v>0.11147599714554271</v>
      </c>
      <c r="P15">
        <f t="shared" si="24"/>
        <v>0.11147599714554271</v>
      </c>
    </row>
    <row r="16" spans="1:24" ht="19" x14ac:dyDescent="0.25">
      <c r="A16">
        <f t="shared" ref="A16:A21" si="25">A2</f>
        <v>300</v>
      </c>
      <c r="B16">
        <f>X2</f>
        <v>64.712142069375474</v>
      </c>
      <c r="C16" s="3">
        <v>7.7157304488839693E-5</v>
      </c>
      <c r="D16" s="2">
        <f>C16*K2</f>
        <v>1.5431460897767941E-5</v>
      </c>
      <c r="O16">
        <f>3.14159*O7*O7-3.14159*N7*N7</f>
        <v>0.10134181558685698</v>
      </c>
      <c r="P16">
        <f t="shared" si="24"/>
        <v>0.10134181558685698</v>
      </c>
      <c r="S16">
        <v>2.9979199999999998E-3</v>
      </c>
      <c r="T16">
        <v>1</v>
      </c>
    </row>
    <row r="17" spans="1:20" ht="19" x14ac:dyDescent="0.25">
      <c r="A17">
        <f t="shared" si="25"/>
        <v>180</v>
      </c>
      <c r="B17">
        <f>X3</f>
        <v>3.9180585537171284</v>
      </c>
      <c r="C17" s="3">
        <v>4.5930007828251403E-5</v>
      </c>
      <c r="D17" s="2">
        <f t="shared" ref="D17:D20" si="26">C17*K3</f>
        <v>5.5116009393901679E-6</v>
      </c>
      <c r="S17">
        <v>8.5654999999999998E-4</v>
      </c>
      <c r="T17">
        <v>0.97499999999999998</v>
      </c>
    </row>
    <row r="18" spans="1:20" ht="19" x14ac:dyDescent="0.25">
      <c r="A18">
        <f t="shared" si="25"/>
        <v>45</v>
      </c>
      <c r="B18">
        <f>X4</f>
        <v>6.3142366064239423E-3</v>
      </c>
      <c r="C18" s="3">
        <v>1.08174186657027E-5</v>
      </c>
      <c r="D18" s="2">
        <f t="shared" si="26"/>
        <v>3.2452255997108099E-7</v>
      </c>
      <c r="S18">
        <v>5.9957999999999995E-4</v>
      </c>
      <c r="T18">
        <v>0.95</v>
      </c>
    </row>
    <row r="19" spans="1:20" ht="19" x14ac:dyDescent="0.25">
      <c r="A19">
        <f t="shared" si="25"/>
        <v>4</v>
      </c>
      <c r="B19">
        <f>X5</f>
        <v>2.5563187164403915E-7</v>
      </c>
      <c r="C19" s="3">
        <v>3.8100034336069501E-7</v>
      </c>
      <c r="D19" s="2">
        <f t="shared" si="26"/>
        <v>1.01600091562852E-9</v>
      </c>
      <c r="S19">
        <v>5.0812000000000003E-4</v>
      </c>
      <c r="T19">
        <v>0.93</v>
      </c>
    </row>
    <row r="20" spans="1:20" ht="19" x14ac:dyDescent="0.25">
      <c r="A20">
        <f t="shared" si="25"/>
        <v>1.5</v>
      </c>
      <c r="B20">
        <f>X6</f>
        <v>3.3963347145331761E-9</v>
      </c>
      <c r="C20" s="3">
        <v>1.74725559279073E-8</v>
      </c>
      <c r="D20" s="2">
        <f t="shared" si="26"/>
        <v>1.7472555927907301E-11</v>
      </c>
      <c r="S20">
        <v>3.7473999999999998E-4</v>
      </c>
      <c r="T20">
        <v>0.86</v>
      </c>
    </row>
    <row r="21" spans="1:20" ht="19" x14ac:dyDescent="0.25">
      <c r="A21">
        <f t="shared" si="25"/>
        <v>0.1</v>
      </c>
      <c r="C21" s="3"/>
      <c r="D21" s="2"/>
      <c r="S21">
        <v>3.3310000000000002E-4</v>
      </c>
      <c r="T21">
        <v>0.8</v>
      </c>
    </row>
    <row r="22" spans="1:20" x14ac:dyDescent="0.2">
      <c r="S22">
        <v>2.9978999999999997E-4</v>
      </c>
      <c r="T22">
        <v>0.73</v>
      </c>
    </row>
    <row r="23" spans="1:20" x14ac:dyDescent="0.2">
      <c r="S23">
        <v>2.3060999999999999E-4</v>
      </c>
      <c r="T23">
        <v>0.6</v>
      </c>
    </row>
    <row r="24" spans="1:20" x14ac:dyDescent="0.2">
      <c r="S24">
        <v>1.9341000000000001E-4</v>
      </c>
      <c r="T24">
        <v>0.4</v>
      </c>
    </row>
    <row r="25" spans="1:20" x14ac:dyDescent="0.2">
      <c r="S25">
        <v>1.6655000000000001E-4</v>
      </c>
      <c r="T25">
        <v>0.2</v>
      </c>
    </row>
    <row r="26" spans="1:20" x14ac:dyDescent="0.2">
      <c r="S26">
        <v>1.4990000000000001E-4</v>
      </c>
      <c r="T26">
        <v>0.13</v>
      </c>
    </row>
    <row r="27" spans="1:20" x14ac:dyDescent="0.2">
      <c r="S27">
        <v>1.1992E-4</v>
      </c>
      <c r="T27">
        <v>6.5000000000000002E-2</v>
      </c>
    </row>
    <row r="28" spans="1:20" x14ac:dyDescent="0.2">
      <c r="S28" s="2">
        <v>7.4950000000000006E-5</v>
      </c>
      <c r="T2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FF570-06EE-8A49-A708-1C69F5C420EA}">
  <dimension ref="A1:B11"/>
  <sheetViews>
    <sheetView workbookViewId="0">
      <selection activeCell="A2" sqref="A2:B11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 t="s">
        <v>23</v>
      </c>
      <c r="B1" t="s">
        <v>24</v>
      </c>
    </row>
    <row r="2" spans="1:2" x14ac:dyDescent="0.2">
      <c r="A2">
        <v>17.5</v>
      </c>
      <c r="B2" s="4">
        <v>0.2</v>
      </c>
    </row>
    <row r="3" spans="1:2" x14ac:dyDescent="0.2">
      <c r="A3">
        <v>23.5</v>
      </c>
      <c r="B3" s="4">
        <v>0.35</v>
      </c>
    </row>
    <row r="4" spans="1:2" x14ac:dyDescent="0.2">
      <c r="A4">
        <v>40</v>
      </c>
      <c r="B4" s="4">
        <v>0.5</v>
      </c>
    </row>
    <row r="5" spans="1:2" x14ac:dyDescent="0.2">
      <c r="A5">
        <v>50</v>
      </c>
      <c r="B5" s="4">
        <v>0.55000000000000004</v>
      </c>
    </row>
    <row r="6" spans="1:2" x14ac:dyDescent="0.2">
      <c r="A6">
        <v>100</v>
      </c>
      <c r="B6" s="4">
        <v>0.77</v>
      </c>
    </row>
    <row r="7" spans="1:2" x14ac:dyDescent="0.2">
      <c r="A7">
        <v>200</v>
      </c>
      <c r="B7" s="4">
        <v>0.81</v>
      </c>
    </row>
    <row r="8" spans="1:2" x14ac:dyDescent="0.2">
      <c r="A8">
        <v>400</v>
      </c>
      <c r="B8" s="4">
        <v>0.92</v>
      </c>
    </row>
    <row r="9" spans="1:2" x14ac:dyDescent="0.2">
      <c r="A9">
        <v>500</v>
      </c>
      <c r="B9" s="4">
        <v>0.94</v>
      </c>
    </row>
    <row r="10" spans="1:2" x14ac:dyDescent="0.2">
      <c r="A10">
        <v>650</v>
      </c>
      <c r="B10" s="4">
        <v>0.96</v>
      </c>
    </row>
    <row r="11" spans="1:2" x14ac:dyDescent="0.2">
      <c r="A11">
        <v>1000</v>
      </c>
      <c r="B11" s="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2021-05-25T06:00:06Z</dcterms:created>
  <dcterms:modified xsi:type="dcterms:W3CDTF">2021-08-27T23:16:38Z</dcterms:modified>
</cp:coreProperties>
</file>