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21" i="1"/>
  <c r="E22" i="1"/>
  <c r="E23" i="1"/>
  <c r="E24" i="1"/>
  <c r="E25" i="1"/>
  <c r="M16" i="1"/>
  <c r="K16" i="1"/>
  <c r="I16" i="1"/>
  <c r="I15" i="1"/>
  <c r="M15" i="1" s="1"/>
  <c r="K15" i="1"/>
  <c r="I14" i="1"/>
  <c r="K14" i="1"/>
  <c r="M14" i="1"/>
  <c r="F15" i="1"/>
  <c r="F16" i="1"/>
  <c r="F14" i="1"/>
  <c r="E16" i="1"/>
  <c r="E15" i="1"/>
  <c r="E14" i="1"/>
  <c r="M3" i="1"/>
  <c r="M4" i="1"/>
  <c r="M5" i="1"/>
  <c r="M6" i="1"/>
  <c r="M7" i="1"/>
  <c r="M8" i="1"/>
  <c r="M9" i="1"/>
  <c r="M10" i="1"/>
  <c r="M11" i="1"/>
  <c r="M12" i="1"/>
  <c r="M13" i="1"/>
  <c r="M2" i="1"/>
  <c r="K3" i="1"/>
  <c r="K4" i="1"/>
  <c r="K5" i="1"/>
  <c r="K6" i="1"/>
  <c r="K7" i="1"/>
  <c r="K8" i="1"/>
  <c r="K9" i="1"/>
  <c r="K10" i="1"/>
  <c r="K11" i="1"/>
  <c r="K12" i="1"/>
  <c r="K13" i="1"/>
  <c r="K2" i="1"/>
  <c r="L3" i="1"/>
  <c r="L4" i="1"/>
  <c r="L5" i="1"/>
  <c r="L6" i="1"/>
  <c r="L7" i="1"/>
  <c r="L8" i="1"/>
  <c r="L9" i="1"/>
  <c r="L10" i="1"/>
  <c r="L11" i="1"/>
  <c r="L12" i="1"/>
  <c r="L13" i="1"/>
  <c r="L2" i="1"/>
  <c r="J3" i="1"/>
  <c r="J4" i="1"/>
  <c r="J5" i="1"/>
  <c r="J6" i="1"/>
  <c r="J7" i="1"/>
  <c r="J8" i="1"/>
  <c r="J9" i="1"/>
  <c r="J10" i="1"/>
  <c r="J11" i="1"/>
  <c r="J12" i="1"/>
  <c r="J13" i="1"/>
  <c r="J2" i="1"/>
  <c r="I3" i="1"/>
  <c r="I4" i="1"/>
  <c r="I5" i="1"/>
  <c r="I6" i="1"/>
  <c r="I7" i="1"/>
  <c r="I8" i="1"/>
  <c r="I9" i="1"/>
  <c r="I10" i="1"/>
  <c r="I11" i="1"/>
  <c r="I12" i="1"/>
  <c r="I13" i="1"/>
  <c r="I2" i="1"/>
  <c r="H3" i="1"/>
  <c r="H4" i="1"/>
  <c r="H5" i="1"/>
  <c r="H6" i="1"/>
  <c r="H7" i="1"/>
  <c r="H8" i="1"/>
  <c r="H9" i="1"/>
  <c r="H10" i="1"/>
  <c r="H11" i="1"/>
  <c r="H12" i="1"/>
  <c r="H13" i="1"/>
  <c r="H2" i="1"/>
  <c r="G3" i="1"/>
  <c r="G4" i="1"/>
  <c r="G5" i="1"/>
  <c r="G6" i="1"/>
  <c r="G7" i="1"/>
  <c r="G8" i="1"/>
  <c r="G9" i="1"/>
  <c r="G10" i="1"/>
  <c r="G11" i="1"/>
  <c r="G12" i="1"/>
  <c r="G13" i="1"/>
  <c r="G2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<sst xmlns="http://schemas.openxmlformats.org/spreadsheetml/2006/main" count="51" uniqueCount="42">
  <si>
    <t>Nº
Factura</t>
  </si>
  <si>
    <t>Fecha de
entrega</t>
  </si>
  <si>
    <t>Código</t>
  </si>
  <si>
    <t>Nombre</t>
  </si>
  <si>
    <t>Unidades</t>
  </si>
  <si>
    <t>Precio</t>
  </si>
  <si>
    <t>Importe</t>
  </si>
  <si>
    <t>Venc.
1er plazo</t>
  </si>
  <si>
    <t>Importe
1er plazo</t>
  </si>
  <si>
    <t>Venc.
2º plazo</t>
  </si>
  <si>
    <t>Importe
2º plazo</t>
  </si>
  <si>
    <t>Media</t>
  </si>
  <si>
    <t>Mínimo</t>
  </si>
  <si>
    <t>Máximo</t>
  </si>
  <si>
    <t>Total</t>
  </si>
  <si>
    <t>Proveedor</t>
  </si>
  <si>
    <t>Nº de
facturas</t>
  </si>
  <si>
    <t>Importe
total</t>
  </si>
  <si>
    <t>Nº de Facturas</t>
  </si>
  <si>
    <t>Importe
máximo</t>
  </si>
  <si>
    <t>osm</t>
  </si>
  <si>
    <t>alvarado</t>
  </si>
  <si>
    <t>roser</t>
  </si>
  <si>
    <t>dipsa</t>
  </si>
  <si>
    <t>titr</t>
  </si>
  <si>
    <t>abaco</t>
  </si>
  <si>
    <t>Comienza por "A" ó termina por "R"</t>
  </si>
  <si>
    <t>Resto</t>
  </si>
  <si>
    <t>I.V.A.</t>
  </si>
  <si>
    <t>Comienza por "6" u "8" y termina en "3"</t>
  </si>
  <si>
    <t>1er plazo</t>
  </si>
  <si>
    <t>2º plazo</t>
  </si>
  <si>
    <t>45 días</t>
  </si>
  <si>
    <t>4 meses</t>
  </si>
  <si>
    <t>Descuento</t>
  </si>
  <si>
    <t>IVA</t>
  </si>
  <si>
    <t>ABACO</t>
  </si>
  <si>
    <t>TITR</t>
  </si>
  <si>
    <t>DIPSA</t>
  </si>
  <si>
    <t>ROSER</t>
  </si>
  <si>
    <t>ALVARADO</t>
  </si>
  <si>
    <t>OSM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</si>
</sst>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\ &quot;Uds&quot;"/>
    <numFmt numFmtId="165" formatCode="#,##0.00\ &quot;€&quot;"/>
    <numFmt numFmtId="166" formatCode="0.00\ &quot;Uds&quot;"/>
    <numFmt numFmtId="167" formatCode="0\ &quot;Uds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9" fontId="0" fillId="0" borderId="5" xfId="0" applyNumberFormat="1" applyBorder="1"/>
    <xf numFmtId="9" fontId="0" fillId="0" borderId="8" xfId="0" applyNumberFormat="1" applyBorder="1"/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2" borderId="3" xfId="0" applyFont="1" applyFill="1" applyBorder="1"/>
    <xf numFmtId="0" fontId="1" fillId="2" borderId="9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/>
    </xf>
    <xf numFmtId="0" fontId="0" fillId="0" borderId="9" xfId="0" applyBorder="1"/>
    <xf numFmtId="15" fontId="0" fillId="0" borderId="9" xfId="0" applyNumberFormat="1" applyBorder="1"/>
    <xf numFmtId="49" fontId="0" fillId="0" borderId="9" xfId="0" applyNumberFormat="1" applyBorder="1"/>
    <xf numFmtId="0" fontId="0" fillId="2" borderId="9" xfId="0" applyFill="1" applyBorder="1"/>
    <xf numFmtId="164" fontId="0" fillId="0" borderId="9" xfId="0" applyNumberFormat="1" applyBorder="1"/>
    <xf numFmtId="165" fontId="0" fillId="0" borderId="9" xfId="0" applyNumberFormat="1" applyBorder="1"/>
    <xf numFmtId="10" fontId="0" fillId="2" borderId="9" xfId="0" applyNumberFormat="1" applyFill="1" applyBorder="1"/>
    <xf numFmtId="165" fontId="0" fillId="2" borderId="9" xfId="0" applyNumberFormat="1" applyFill="1" applyBorder="1"/>
    <xf numFmtId="15" fontId="0" fillId="2" borderId="9" xfId="0" applyNumberFormat="1" applyFill="1" applyBorder="1"/>
    <xf numFmtId="0" fontId="1" fillId="2" borderId="9" xfId="0" applyFont="1" applyFill="1" applyBorder="1"/>
    <xf numFmtId="166" fontId="0" fillId="2" borderId="9" xfId="0" applyNumberFormat="1" applyFill="1" applyBorder="1"/>
    <xf numFmtId="10" fontId="0" fillId="0" borderId="9" xfId="0" applyNumberFormat="1" applyBorder="1"/>
    <xf numFmtId="167" fontId="0" fillId="2" borderId="9" xfId="0" applyNumberFormat="1" applyFill="1" applyBorder="1"/>
    <xf numFmtId="167" fontId="0" fillId="0" borderId="9" xfId="0" applyNumberFormat="1" applyBorder="1"/>
    <xf numFmtId="0" fontId="1" fillId="2" borderId="9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5" fontId="0" fillId="2" borderId="9" xfId="0" applyNumberFormat="1" applyFill="1" applyBorder="1" applyAlignment="1">
      <alignment horizontal="center"/>
    </xf>
    <xf numFmtId="10" fontId="0" fillId="0" borderId="9" xfId="0" applyNumberFormat="1" applyFill="1" applyBorder="1"/>
    <xf numFmtId="9" fontId="0" fillId="0" borderId="9" xfId="0" applyNumberFormat="1" applyBorder="1"/>
  </cellXfs>
  <cellStyles count="1">
    <cellStyle name="Normal" xfId="0" builtinId="0"/>
  </cellStyles>
  <dxfs count="2">
    <dxf>
      <font>
        <color rgb="FF00CC00"/>
      </font>
    </dxf>
    <dxf>
      <font>
        <color rgb="FF00CC00"/>
      </font>
    </dxf>
  </dxfs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D12" sqref="D12"/>
    </sheetView>
  </sheetViews>
  <sheetFormatPr baseColWidth="10" defaultColWidth="9.140625" defaultRowHeight="15" x14ac:dyDescent="0.25"/>
  <cols>
    <col min="1" max="1" width="11.28515625" customWidth="1"/>
    <col min="2" max="2" width="10.85546875" customWidth="1"/>
    <col min="3" max="3" width="10.7109375" customWidth="1"/>
    <col min="4" max="4" width="10.85546875" customWidth="1"/>
    <col min="5" max="8" width="12.7109375" customWidth="1"/>
    <col min="9" max="9" width="12.28515625" customWidth="1"/>
    <col min="10" max="10" width="10.7109375" customWidth="1"/>
    <col min="11" max="11" width="13.85546875" customWidth="1"/>
    <col min="12" max="12" width="10.140625" bestFit="1" customWidth="1"/>
    <col min="13" max="13" width="10.28515625" customWidth="1"/>
  </cols>
  <sheetData>
    <row r="1" spans="1:13" ht="41.25" customHeight="1" x14ac:dyDescent="0.25">
      <c r="A1" s="10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34</v>
      </c>
      <c r="H1" s="11" t="s">
        <v>35</v>
      </c>
      <c r="I1" s="11" t="s">
        <v>6</v>
      </c>
      <c r="J1" s="10" t="s">
        <v>7</v>
      </c>
      <c r="K1" s="10" t="s">
        <v>8</v>
      </c>
      <c r="L1" s="10" t="s">
        <v>9</v>
      </c>
      <c r="M1" s="10" t="s">
        <v>10</v>
      </c>
    </row>
    <row r="2" spans="1:13" x14ac:dyDescent="0.25">
      <c r="A2" s="12">
        <v>1001</v>
      </c>
      <c r="B2" s="13">
        <v>39842</v>
      </c>
      <c r="C2" s="14">
        <v>6913</v>
      </c>
      <c r="D2" s="15" t="str">
        <f>UPPER(VLOOKUP(C2,$A$20:$B$25,2,FALSE))</f>
        <v>ROSER</v>
      </c>
      <c r="E2" s="16">
        <v>71</v>
      </c>
      <c r="F2" s="17">
        <v>3.97</v>
      </c>
      <c r="G2" s="18">
        <f>IF(OR(LEFT(D2,1)="A",LEFT(D2,1)="R"),$D$28,$D$29)</f>
        <v>0.2</v>
      </c>
      <c r="H2" s="18">
        <f>IF(OR(AND(LEFT(C2,1)="6",RIGHT(C2,1)="3"),AND(LEFT(C2,1)="8",RIGHT(C2,1)="3")),$J$28,$J$29)</f>
        <v>0.16</v>
      </c>
      <c r="I2" s="19">
        <f>(E2*F2)-(E2*F2)*G2+(E2*F2)*H2</f>
        <v>270.59520000000003</v>
      </c>
      <c r="J2" s="20">
        <f>DATE(YEAR(B2),MONTH(B2),DAY(B2)+45)</f>
        <v>39887</v>
      </c>
      <c r="K2" s="19">
        <f>I2*$C$31</f>
        <v>108.23808000000002</v>
      </c>
      <c r="L2" s="20">
        <f>DATE(YEAR(B2),MONTH(B2)+4,DAY(B2))</f>
        <v>39962</v>
      </c>
      <c r="M2" s="19">
        <f>I2*$C$32</f>
        <v>162.35712000000001</v>
      </c>
    </row>
    <row r="3" spans="1:13" x14ac:dyDescent="0.25">
      <c r="A3" s="12">
        <v>1002</v>
      </c>
      <c r="B3" s="13">
        <v>39854</v>
      </c>
      <c r="C3" s="14">
        <v>8113</v>
      </c>
      <c r="D3" s="15" t="str">
        <f t="shared" ref="D3:D13" si="0">UPPER(VLOOKUP(C3,$A$20:$B$25,2,FALSE))</f>
        <v>ALVARADO</v>
      </c>
      <c r="E3" s="16">
        <v>15</v>
      </c>
      <c r="F3" s="17">
        <v>4.54</v>
      </c>
      <c r="G3" s="18">
        <f t="shared" ref="G3:G13" si="1">IF(OR(LEFT(D3,1)="A",LEFT(D3,1)="R"),$D$28,$D$29)</f>
        <v>0.2</v>
      </c>
      <c r="H3" s="18">
        <f t="shared" ref="H3:H13" si="2">IF(OR(AND(LEFT(C3,1)="6",RIGHT(C3,1)="3"),AND(LEFT(C3,1)="8",RIGHT(C3,1)="3")),$J$28,$J$29)</f>
        <v>0.16</v>
      </c>
      <c r="I3" s="19">
        <f t="shared" ref="I3:I13" si="3">(E3*F3)-(E3*F3)*G3+(E3*F3)*H3</f>
        <v>65.375999999999991</v>
      </c>
      <c r="J3" s="20">
        <f t="shared" ref="J3:J13" si="4">DATE(YEAR(B3),MONTH(B3),DAY(B3)+45)</f>
        <v>39899</v>
      </c>
      <c r="K3" s="19">
        <f t="shared" ref="K3:K15" si="5">I3*$C$31</f>
        <v>26.150399999999998</v>
      </c>
      <c r="L3" s="20">
        <f t="shared" ref="L3:L13" si="6">DATE(YEAR(B3),MONTH(B3)+4,DAY(B3))</f>
        <v>39974</v>
      </c>
      <c r="M3" s="19">
        <f t="shared" ref="M3:M15" si="7">I3*$C$32</f>
        <v>39.225599999999993</v>
      </c>
    </row>
    <row r="4" spans="1:13" x14ac:dyDescent="0.25">
      <c r="A4" s="12">
        <v>1003</v>
      </c>
      <c r="B4" s="13">
        <v>39858</v>
      </c>
      <c r="C4" s="14">
        <v>5148</v>
      </c>
      <c r="D4" s="15" t="str">
        <f t="shared" si="0"/>
        <v>DIPSA</v>
      </c>
      <c r="E4" s="16">
        <v>30</v>
      </c>
      <c r="F4" s="17">
        <v>4.1100000000000003</v>
      </c>
      <c r="G4" s="18">
        <f t="shared" si="1"/>
        <v>0.15</v>
      </c>
      <c r="H4" s="18">
        <f t="shared" si="2"/>
        <v>0.03</v>
      </c>
      <c r="I4" s="19">
        <f t="shared" si="3"/>
        <v>108.504</v>
      </c>
      <c r="J4" s="20">
        <f t="shared" si="4"/>
        <v>39903</v>
      </c>
      <c r="K4" s="19">
        <f t="shared" si="5"/>
        <v>43.401600000000002</v>
      </c>
      <c r="L4" s="20">
        <f t="shared" si="6"/>
        <v>39978</v>
      </c>
      <c r="M4" s="19">
        <f t="shared" si="7"/>
        <v>65.102400000000003</v>
      </c>
    </row>
    <row r="5" spans="1:13" x14ac:dyDescent="0.25">
      <c r="A5" s="12">
        <v>1004</v>
      </c>
      <c r="B5" s="13">
        <v>39896</v>
      </c>
      <c r="C5" s="14">
        <v>8113</v>
      </c>
      <c r="D5" s="15" t="str">
        <f t="shared" si="0"/>
        <v>ALVARADO</v>
      </c>
      <c r="E5" s="16">
        <v>27</v>
      </c>
      <c r="F5" s="17">
        <v>3.5</v>
      </c>
      <c r="G5" s="18">
        <f t="shared" si="1"/>
        <v>0.2</v>
      </c>
      <c r="H5" s="18">
        <f t="shared" si="2"/>
        <v>0.16</v>
      </c>
      <c r="I5" s="19">
        <f t="shared" si="3"/>
        <v>90.72</v>
      </c>
      <c r="J5" s="20">
        <f t="shared" si="4"/>
        <v>39941</v>
      </c>
      <c r="K5" s="19">
        <f t="shared" si="5"/>
        <v>36.288000000000004</v>
      </c>
      <c r="L5" s="20">
        <f t="shared" si="6"/>
        <v>40018</v>
      </c>
      <c r="M5" s="19">
        <f t="shared" si="7"/>
        <v>54.431999999999995</v>
      </c>
    </row>
    <row r="6" spans="1:13" x14ac:dyDescent="0.25">
      <c r="A6" s="12">
        <v>1005</v>
      </c>
      <c r="B6" s="13">
        <v>39896</v>
      </c>
      <c r="C6" s="14">
        <v>5148</v>
      </c>
      <c r="D6" s="15" t="str">
        <f t="shared" si="0"/>
        <v>DIPSA</v>
      </c>
      <c r="E6" s="16">
        <v>19</v>
      </c>
      <c r="F6" s="17">
        <v>4.8</v>
      </c>
      <c r="G6" s="18">
        <f t="shared" si="1"/>
        <v>0.15</v>
      </c>
      <c r="H6" s="18">
        <f t="shared" si="2"/>
        <v>0.03</v>
      </c>
      <c r="I6" s="19">
        <f t="shared" si="3"/>
        <v>80.256000000000014</v>
      </c>
      <c r="J6" s="20">
        <f t="shared" si="4"/>
        <v>39941</v>
      </c>
      <c r="K6" s="19">
        <f t="shared" si="5"/>
        <v>32.10240000000001</v>
      </c>
      <c r="L6" s="20">
        <f t="shared" si="6"/>
        <v>40018</v>
      </c>
      <c r="M6" s="19">
        <f t="shared" si="7"/>
        <v>48.153600000000004</v>
      </c>
    </row>
    <row r="7" spans="1:13" x14ac:dyDescent="0.25">
      <c r="A7" s="12">
        <v>1006</v>
      </c>
      <c r="B7" s="13">
        <v>39910</v>
      </c>
      <c r="C7" s="14">
        <v>1482</v>
      </c>
      <c r="D7" s="15" t="str">
        <f t="shared" si="0"/>
        <v>ABACO</v>
      </c>
      <c r="E7" s="16">
        <v>62</v>
      </c>
      <c r="F7" s="17">
        <v>3.97</v>
      </c>
      <c r="G7" s="18">
        <f t="shared" si="1"/>
        <v>0.2</v>
      </c>
      <c r="H7" s="18">
        <f t="shared" si="2"/>
        <v>0.03</v>
      </c>
      <c r="I7" s="19">
        <f t="shared" si="3"/>
        <v>204.2962</v>
      </c>
      <c r="J7" s="20">
        <f t="shared" si="4"/>
        <v>39955</v>
      </c>
      <c r="K7" s="19">
        <f t="shared" si="5"/>
        <v>81.71848</v>
      </c>
      <c r="L7" s="20">
        <f t="shared" si="6"/>
        <v>40032</v>
      </c>
      <c r="M7" s="19">
        <f t="shared" si="7"/>
        <v>122.57772</v>
      </c>
    </row>
    <row r="8" spans="1:13" x14ac:dyDescent="0.25">
      <c r="A8" s="12">
        <v>1007</v>
      </c>
      <c r="B8" s="13">
        <v>39947</v>
      </c>
      <c r="C8" s="14">
        <v>6913</v>
      </c>
      <c r="D8" s="15" t="str">
        <f t="shared" si="0"/>
        <v>ROSER</v>
      </c>
      <c r="E8" s="16">
        <v>11</v>
      </c>
      <c r="F8" s="17">
        <v>4</v>
      </c>
      <c r="G8" s="18">
        <f t="shared" si="1"/>
        <v>0.2</v>
      </c>
      <c r="H8" s="18">
        <f t="shared" si="2"/>
        <v>0.16</v>
      </c>
      <c r="I8" s="19">
        <f t="shared" si="3"/>
        <v>42.24</v>
      </c>
      <c r="J8" s="20">
        <f t="shared" si="4"/>
        <v>39992</v>
      </c>
      <c r="K8" s="19">
        <f t="shared" si="5"/>
        <v>16.896000000000001</v>
      </c>
      <c r="L8" s="20">
        <f t="shared" si="6"/>
        <v>40070</v>
      </c>
      <c r="M8" s="19">
        <f t="shared" si="7"/>
        <v>25.344000000000001</v>
      </c>
    </row>
    <row r="9" spans="1:13" x14ac:dyDescent="0.25">
      <c r="A9" s="12">
        <v>1008</v>
      </c>
      <c r="B9" s="13">
        <v>39985</v>
      </c>
      <c r="C9" s="14">
        <v>8582</v>
      </c>
      <c r="D9" s="15" t="str">
        <f t="shared" si="0"/>
        <v>OSM</v>
      </c>
      <c r="E9" s="16">
        <v>91</v>
      </c>
      <c r="F9" s="17">
        <v>3.53</v>
      </c>
      <c r="G9" s="18">
        <f t="shared" si="1"/>
        <v>0.15</v>
      </c>
      <c r="H9" s="18">
        <f t="shared" si="2"/>
        <v>0.03</v>
      </c>
      <c r="I9" s="19">
        <f t="shared" si="3"/>
        <v>282.68239999999997</v>
      </c>
      <c r="J9" s="20">
        <f t="shared" si="4"/>
        <v>40030</v>
      </c>
      <c r="K9" s="19">
        <f t="shared" si="5"/>
        <v>113.07295999999999</v>
      </c>
      <c r="L9" s="20">
        <f t="shared" si="6"/>
        <v>40107</v>
      </c>
      <c r="M9" s="19">
        <f t="shared" si="7"/>
        <v>169.60943999999998</v>
      </c>
    </row>
    <row r="10" spans="1:13" x14ac:dyDescent="0.25">
      <c r="A10" s="12">
        <v>1009</v>
      </c>
      <c r="B10" s="13">
        <v>40012</v>
      </c>
      <c r="C10" s="14">
        <v>5148</v>
      </c>
      <c r="D10" s="15" t="str">
        <f t="shared" si="0"/>
        <v>DIPSA</v>
      </c>
      <c r="E10" s="16">
        <v>64</v>
      </c>
      <c r="F10" s="17">
        <v>3.8</v>
      </c>
      <c r="G10" s="18">
        <f t="shared" si="1"/>
        <v>0.15</v>
      </c>
      <c r="H10" s="18">
        <f t="shared" si="2"/>
        <v>0.03</v>
      </c>
      <c r="I10" s="19">
        <f t="shared" si="3"/>
        <v>214.01599999999999</v>
      </c>
      <c r="J10" s="20">
        <f t="shared" si="4"/>
        <v>40057</v>
      </c>
      <c r="K10" s="19">
        <f t="shared" si="5"/>
        <v>85.606400000000008</v>
      </c>
      <c r="L10" s="20">
        <f t="shared" si="6"/>
        <v>40135</v>
      </c>
      <c r="M10" s="19">
        <f t="shared" si="7"/>
        <v>128.40959999999998</v>
      </c>
    </row>
    <row r="11" spans="1:13" x14ac:dyDescent="0.25">
      <c r="A11" s="12">
        <v>1010</v>
      </c>
      <c r="B11" s="13">
        <v>40041</v>
      </c>
      <c r="C11" s="14">
        <v>8113</v>
      </c>
      <c r="D11" s="15" t="str">
        <f t="shared" si="0"/>
        <v>ALVARADO</v>
      </c>
      <c r="E11" s="16">
        <v>5</v>
      </c>
      <c r="F11" s="17">
        <v>4.4400000000000004</v>
      </c>
      <c r="G11" s="18">
        <f t="shared" si="1"/>
        <v>0.2</v>
      </c>
      <c r="H11" s="18">
        <f t="shared" si="2"/>
        <v>0.16</v>
      </c>
      <c r="I11" s="19">
        <f t="shared" si="3"/>
        <v>21.312000000000001</v>
      </c>
      <c r="J11" s="20">
        <f t="shared" si="4"/>
        <v>40086</v>
      </c>
      <c r="K11" s="19">
        <f t="shared" si="5"/>
        <v>8.5248000000000008</v>
      </c>
      <c r="L11" s="20">
        <f t="shared" si="6"/>
        <v>40163</v>
      </c>
      <c r="M11" s="19">
        <f t="shared" si="7"/>
        <v>12.7872</v>
      </c>
    </row>
    <row r="12" spans="1:13" x14ac:dyDescent="0.25">
      <c r="A12" s="12">
        <v>1011</v>
      </c>
      <c r="B12" s="13">
        <v>40166</v>
      </c>
      <c r="C12" s="14">
        <v>6913</v>
      </c>
      <c r="D12" s="15" t="str">
        <f t="shared" si="0"/>
        <v>ROSER</v>
      </c>
      <c r="E12" s="16">
        <v>32</v>
      </c>
      <c r="F12" s="17">
        <v>4.68</v>
      </c>
      <c r="G12" s="18">
        <f t="shared" si="1"/>
        <v>0.2</v>
      </c>
      <c r="H12" s="18">
        <f t="shared" si="2"/>
        <v>0.16</v>
      </c>
      <c r="I12" s="19">
        <f t="shared" si="3"/>
        <v>143.7696</v>
      </c>
      <c r="J12" s="20">
        <f t="shared" si="4"/>
        <v>40211</v>
      </c>
      <c r="K12" s="19">
        <f t="shared" si="5"/>
        <v>57.507840000000002</v>
      </c>
      <c r="L12" s="20">
        <f t="shared" si="6"/>
        <v>40287</v>
      </c>
      <c r="M12" s="19">
        <f t="shared" si="7"/>
        <v>86.261759999999995</v>
      </c>
    </row>
    <row r="13" spans="1:13" x14ac:dyDescent="0.25">
      <c r="A13" s="12">
        <v>1012</v>
      </c>
      <c r="B13" s="13">
        <v>40177</v>
      </c>
      <c r="C13" s="14">
        <v>3849</v>
      </c>
      <c r="D13" s="15" t="str">
        <f t="shared" si="0"/>
        <v>TITR</v>
      </c>
      <c r="E13" s="16">
        <v>4</v>
      </c>
      <c r="F13" s="17">
        <v>3.21</v>
      </c>
      <c r="G13" s="18">
        <f t="shared" si="1"/>
        <v>0.15</v>
      </c>
      <c r="H13" s="18">
        <f t="shared" si="2"/>
        <v>0.03</v>
      </c>
      <c r="I13" s="19">
        <f t="shared" si="3"/>
        <v>11.299199999999999</v>
      </c>
      <c r="J13" s="20">
        <f t="shared" si="4"/>
        <v>40222</v>
      </c>
      <c r="K13" s="19">
        <f t="shared" si="5"/>
        <v>4.5196800000000001</v>
      </c>
      <c r="L13" s="20">
        <f t="shared" si="6"/>
        <v>40298</v>
      </c>
      <c r="M13" s="19">
        <f t="shared" si="7"/>
        <v>6.7795199999999989</v>
      </c>
    </row>
    <row r="14" spans="1:13" x14ac:dyDescent="0.25">
      <c r="A14" s="12"/>
      <c r="B14" s="12"/>
      <c r="C14" s="12"/>
      <c r="D14" s="21" t="s">
        <v>11</v>
      </c>
      <c r="E14" s="22">
        <f>AVERAGE(E2:E13)</f>
        <v>35.916666666666664</v>
      </c>
      <c r="F14" s="19">
        <f>AVERAGE(F2:F13)</f>
        <v>4.0458333333333334</v>
      </c>
      <c r="G14" s="29"/>
      <c r="H14" s="23"/>
      <c r="I14" s="19">
        <f>AVERAGE(I2:I13)</f>
        <v>127.92221666666666</v>
      </c>
      <c r="J14" s="13"/>
      <c r="K14" s="19">
        <f t="shared" si="5"/>
        <v>51.168886666666666</v>
      </c>
      <c r="L14" s="13"/>
      <c r="M14" s="19">
        <f t="shared" si="7"/>
        <v>76.753329999999991</v>
      </c>
    </row>
    <row r="15" spans="1:13" x14ac:dyDescent="0.25">
      <c r="A15" s="12"/>
      <c r="B15" s="12"/>
      <c r="C15" s="12"/>
      <c r="D15" s="21" t="s">
        <v>12</v>
      </c>
      <c r="E15" s="24">
        <f>MIN(E2:E13)</f>
        <v>4</v>
      </c>
      <c r="F15" s="19">
        <f t="shared" ref="F15:F16" si="8">AVERAGE(F3:F14)</f>
        <v>4.0521527777777777</v>
      </c>
      <c r="G15" s="29"/>
      <c r="H15" s="23"/>
      <c r="I15" s="19">
        <f>MIN(I2:I13)</f>
        <v>11.299199999999999</v>
      </c>
      <c r="J15" s="13"/>
      <c r="K15" s="19">
        <f t="shared" si="5"/>
        <v>4.5196800000000001</v>
      </c>
      <c r="L15" s="13"/>
      <c r="M15" s="19">
        <f t="shared" si="7"/>
        <v>6.7795199999999989</v>
      </c>
    </row>
    <row r="16" spans="1:13" x14ac:dyDescent="0.25">
      <c r="A16" s="12"/>
      <c r="B16" s="12"/>
      <c r="C16" s="12"/>
      <c r="D16" s="21" t="s">
        <v>13</v>
      </c>
      <c r="E16" s="24">
        <f>MAX(E2:E13)</f>
        <v>91</v>
      </c>
      <c r="F16" s="19">
        <f t="shared" si="8"/>
        <v>4.0114988425925926</v>
      </c>
      <c r="G16" s="29"/>
      <c r="H16" s="23"/>
      <c r="I16" s="19">
        <f>MAX(I2:I13)</f>
        <v>282.68239999999997</v>
      </c>
      <c r="J16" s="13"/>
      <c r="K16" s="19">
        <f>I16*$C$31</f>
        <v>113.07295999999999</v>
      </c>
      <c r="L16" s="13"/>
      <c r="M16" s="19">
        <f>I16*$C$32</f>
        <v>169.60943999999998</v>
      </c>
    </row>
    <row r="17" spans="1:13" x14ac:dyDescent="0.25">
      <c r="A17" s="12"/>
      <c r="B17" s="12"/>
      <c r="C17" s="12"/>
      <c r="D17" s="21" t="s">
        <v>14</v>
      </c>
      <c r="E17" s="25"/>
      <c r="F17" s="12"/>
      <c r="G17" s="29"/>
      <c r="H17" s="23"/>
      <c r="I17" s="19"/>
      <c r="J17" s="13"/>
      <c r="K17" s="19"/>
      <c r="L17" s="13"/>
      <c r="M17" s="19"/>
    </row>
    <row r="18" spans="1:13" x14ac:dyDescent="0.25">
      <c r="A18" s="26" t="s">
        <v>15</v>
      </c>
      <c r="B18" s="26"/>
      <c r="C18" s="12"/>
      <c r="D18" s="12"/>
      <c r="E18" s="12"/>
      <c r="F18" s="12"/>
      <c r="G18" s="23"/>
      <c r="H18" s="23"/>
      <c r="I18" s="17"/>
      <c r="J18" s="13"/>
      <c r="K18" s="17"/>
      <c r="L18" s="13"/>
      <c r="M18" s="17"/>
    </row>
    <row r="19" spans="1:13" ht="41.25" customHeight="1" x14ac:dyDescent="0.25">
      <c r="A19" s="21" t="s">
        <v>2</v>
      </c>
      <c r="B19" s="21" t="s">
        <v>3</v>
      </c>
      <c r="C19" s="12"/>
      <c r="D19" s="21" t="s">
        <v>3</v>
      </c>
      <c r="E19" s="10" t="s">
        <v>16</v>
      </c>
      <c r="F19" s="10" t="s">
        <v>17</v>
      </c>
      <c r="G19" s="23"/>
      <c r="H19" s="23"/>
      <c r="I19" s="17"/>
      <c r="J19" s="11" t="s">
        <v>2</v>
      </c>
      <c r="K19" s="11" t="s">
        <v>18</v>
      </c>
      <c r="L19" s="11" t="s">
        <v>6</v>
      </c>
      <c r="M19" s="10" t="s">
        <v>19</v>
      </c>
    </row>
    <row r="20" spans="1:13" x14ac:dyDescent="0.25">
      <c r="A20" s="12">
        <v>1482</v>
      </c>
      <c r="B20" s="12" t="s">
        <v>25</v>
      </c>
      <c r="C20" s="12"/>
      <c r="D20" s="15" t="s">
        <v>37</v>
      </c>
      <c r="E20" s="15" t="e">
        <f>IF(VLOOKUP(D20,A2:D13,4,FALSE),1,0)</f>
        <v>#N/A</v>
      </c>
      <c r="F20" s="19"/>
      <c r="G20" s="23"/>
      <c r="H20" s="23"/>
      <c r="I20" s="17"/>
      <c r="J20" s="12">
        <v>6913</v>
      </c>
      <c r="K20" s="27"/>
      <c r="L20" s="28"/>
      <c r="M20" s="28"/>
    </row>
    <row r="21" spans="1:13" x14ac:dyDescent="0.25">
      <c r="A21" s="12">
        <v>3849</v>
      </c>
      <c r="B21" s="12" t="s">
        <v>24</v>
      </c>
      <c r="C21" s="12"/>
      <c r="D21" s="15" t="s">
        <v>36</v>
      </c>
      <c r="E21" s="15">
        <f t="shared" ref="E21:E25" si="9">COUNTIF(D3:D14,D3=$D$20)</f>
        <v>0</v>
      </c>
      <c r="F21" s="19"/>
      <c r="G21" s="23"/>
      <c r="H21" s="23"/>
      <c r="I21" s="17"/>
      <c r="J21" s="12">
        <v>8113</v>
      </c>
      <c r="K21" s="27"/>
      <c r="L21" s="28"/>
      <c r="M21" s="28"/>
    </row>
    <row r="22" spans="1:13" x14ac:dyDescent="0.25">
      <c r="A22" s="12">
        <v>5148</v>
      </c>
      <c r="B22" s="12" t="s">
        <v>23</v>
      </c>
      <c r="C22" s="12"/>
      <c r="D22" s="15" t="s">
        <v>41</v>
      </c>
      <c r="E22" s="15">
        <f t="shared" si="9"/>
        <v>0</v>
      </c>
      <c r="F22" s="19"/>
      <c r="G22" s="23"/>
      <c r="H22" s="23"/>
      <c r="I22" s="17"/>
      <c r="J22" s="12"/>
      <c r="K22" s="12"/>
      <c r="L22" s="12"/>
      <c r="M22" s="12"/>
    </row>
    <row r="23" spans="1:13" x14ac:dyDescent="0.25">
      <c r="A23" s="12">
        <v>6913</v>
      </c>
      <c r="B23" s="12" t="s">
        <v>22</v>
      </c>
      <c r="C23" s="12"/>
      <c r="D23" s="15" t="s">
        <v>40</v>
      </c>
      <c r="E23" s="15">
        <f t="shared" si="9"/>
        <v>0</v>
      </c>
      <c r="F23" s="19"/>
      <c r="G23" s="23"/>
      <c r="H23" s="23"/>
      <c r="I23" s="17"/>
      <c r="J23" s="12"/>
      <c r="K23" s="12"/>
      <c r="L23" s="12"/>
      <c r="M23" s="12"/>
    </row>
    <row r="24" spans="1:13" x14ac:dyDescent="0.25">
      <c r="A24" s="12">
        <v>8113</v>
      </c>
      <c r="B24" s="12" t="s">
        <v>21</v>
      </c>
      <c r="C24" s="12"/>
      <c r="D24" s="15" t="s">
        <v>38</v>
      </c>
      <c r="E24" s="15">
        <f t="shared" si="9"/>
        <v>0</v>
      </c>
      <c r="F24" s="19"/>
      <c r="G24" s="23"/>
      <c r="H24" s="23"/>
      <c r="I24" s="17"/>
      <c r="J24" s="12"/>
      <c r="K24" s="12"/>
      <c r="L24" s="12"/>
      <c r="M24" s="12"/>
    </row>
    <row r="25" spans="1:13" x14ac:dyDescent="0.25">
      <c r="A25" s="12">
        <v>8582</v>
      </c>
      <c r="B25" s="12" t="s">
        <v>20</v>
      </c>
      <c r="C25" s="12"/>
      <c r="D25" s="15" t="s">
        <v>39</v>
      </c>
      <c r="E25" s="15">
        <f t="shared" si="9"/>
        <v>0</v>
      </c>
      <c r="F25" s="19"/>
      <c r="G25" s="23"/>
      <c r="H25" s="23"/>
      <c r="I25" s="17"/>
      <c r="J25" s="12"/>
      <c r="K25" s="12"/>
      <c r="L25" s="12"/>
      <c r="M25" s="12"/>
    </row>
    <row r="26" spans="1:13" ht="15.75" thickBot="1" x14ac:dyDescent="0.3"/>
    <row r="27" spans="1:13" ht="15.75" thickTop="1" x14ac:dyDescent="0.25">
      <c r="A27" s="7" t="s">
        <v>3</v>
      </c>
      <c r="B27" s="8"/>
      <c r="C27" s="8"/>
      <c r="D27" s="9" t="s">
        <v>34</v>
      </c>
      <c r="E27" s="7" t="s">
        <v>2</v>
      </c>
      <c r="F27" s="8"/>
      <c r="G27" s="8"/>
      <c r="H27" s="8"/>
      <c r="I27" s="8"/>
      <c r="J27" s="9" t="s">
        <v>28</v>
      </c>
    </row>
    <row r="28" spans="1:13" x14ac:dyDescent="0.25">
      <c r="A28" s="3" t="s">
        <v>26</v>
      </c>
      <c r="B28" s="4"/>
      <c r="C28" s="4"/>
      <c r="D28" s="1">
        <v>0.2</v>
      </c>
      <c r="E28" s="3" t="s">
        <v>29</v>
      </c>
      <c r="F28" s="4"/>
      <c r="G28" s="4"/>
      <c r="H28" s="4"/>
      <c r="I28" s="4"/>
      <c r="J28" s="1">
        <v>0.16</v>
      </c>
    </row>
    <row r="29" spans="1:13" ht="15.75" thickBot="1" x14ac:dyDescent="0.3">
      <c r="A29" s="5" t="s">
        <v>27</v>
      </c>
      <c r="B29" s="6"/>
      <c r="C29" s="6"/>
      <c r="D29" s="2">
        <v>0.15</v>
      </c>
      <c r="E29" s="5" t="s">
        <v>27</v>
      </c>
      <c r="F29" s="6"/>
      <c r="G29" s="6"/>
      <c r="H29" s="6"/>
      <c r="I29" s="6"/>
      <c r="J29" s="2">
        <v>0.03</v>
      </c>
    </row>
    <row r="30" spans="1:13" ht="15.75" thickTop="1" x14ac:dyDescent="0.25"/>
    <row r="31" spans="1:13" x14ac:dyDescent="0.25">
      <c r="A31" s="21" t="s">
        <v>30</v>
      </c>
      <c r="B31" s="12" t="s">
        <v>32</v>
      </c>
      <c r="C31" s="30">
        <v>0.4</v>
      </c>
    </row>
    <row r="32" spans="1:13" x14ac:dyDescent="0.25">
      <c r="A32" s="21" t="s">
        <v>31</v>
      </c>
      <c r="B32" s="12" t="s">
        <v>33</v>
      </c>
      <c r="C32" s="30">
        <v>0.6</v>
      </c>
    </row>
  </sheetData>
  <sortState ref="D20:F25">
    <sortCondition ref="E20:E25"/>
    <sortCondition ref="F20:F25"/>
  </sortState>
  <mergeCells count="10">
    <mergeCell ref="K20:K21"/>
    <mergeCell ref="L20:L21"/>
    <mergeCell ref="M20:M21"/>
    <mergeCell ref="A18:B18"/>
    <mergeCell ref="A27:C27"/>
    <mergeCell ref="A28:C28"/>
    <mergeCell ref="A29:C29"/>
    <mergeCell ref="E27:I27"/>
    <mergeCell ref="E29:I29"/>
    <mergeCell ref="E28:I28"/>
  </mergeCells>
  <conditionalFormatting sqref="A2:A13">
    <cfRule type="expression" dxfId="0" priority="1">
      <formula>AND(I2&gt;100,F2&gt;4)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2019-11-12T13:04:01Z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d6f858ae-efd3-4e83-bd67-12cddae930fb</vt:lpwstr>
  </property>
</Properties>
</file>