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e403493bad5ccf/Área de Trabalho/Supplementary_Material_Scripts2/1_RI_LabRI/3_PRIDE-RL/"/>
    </mc:Choice>
  </mc:AlternateContent>
  <xr:revisionPtr revIDLastSave="1884" documentId="13_ncr:1_{6C0CE4C4-286C-4D30-8EEB-E712F1432B78}" xr6:coauthVersionLast="47" xr6:coauthVersionMax="47" xr10:uidLastSave="{C1BAC4DD-1584-43A5-8158-592D979B7881}"/>
  <bookViews>
    <workbookView xWindow="-108" yWindow="-108" windowWidth="23256" windowHeight="12456" tabRatio="823" activeTab="4" xr2:uid="{6FBDB355-49B6-4D46-BCA9-9802091FA7F5}"/>
  </bookViews>
  <sheets>
    <sheet name="Readme" sheetId="18" r:id="rId1"/>
    <sheet name="Input Group 1" sheetId="19" r:id="rId2"/>
    <sheet name="Input Group 2" sheetId="20" r:id="rId3"/>
    <sheet name="Heatmap" sheetId="21" r:id="rId4"/>
    <sheet name="PRIDE-RL ranking" sheetId="22" r:id="rId5"/>
    <sheet name="PRIDe-RL scoring framework" sheetId="24" r:id="rId6"/>
    <sheet name="References" sheetId="25" r:id="rId7"/>
  </sheets>
  <definedNames>
    <definedName name="_xlnm._FilterDatabase" localSheetId="4" hidden="1">'PRIDE-RL ranking'!$B$23:$O$30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6" i="21" l="1"/>
  <c r="H6" i="21"/>
  <c r="I6" i="21"/>
  <c r="J6" i="21"/>
  <c r="K6" i="21"/>
  <c r="G7" i="21"/>
  <c r="H7" i="21"/>
  <c r="I7" i="21"/>
  <c r="J7" i="21"/>
  <c r="K7" i="21"/>
  <c r="G8" i="21"/>
  <c r="H8" i="21"/>
  <c r="I8" i="21"/>
  <c r="J8" i="21"/>
  <c r="K8" i="21"/>
  <c r="G9" i="21"/>
  <c r="H9" i="21"/>
  <c r="I9" i="21"/>
  <c r="J9" i="21"/>
  <c r="K9" i="21"/>
  <c r="G10" i="21"/>
  <c r="H10" i="21"/>
  <c r="I10" i="21"/>
  <c r="J10" i="21"/>
  <c r="K10" i="21"/>
  <c r="G11" i="21"/>
  <c r="H11" i="21"/>
  <c r="I11" i="21"/>
  <c r="J11" i="21"/>
  <c r="K11" i="21"/>
  <c r="G12" i="21"/>
  <c r="H12" i="21"/>
  <c r="I12" i="21"/>
  <c r="J12" i="21"/>
  <c r="K12" i="21"/>
  <c r="G13" i="21"/>
  <c r="H13" i="21"/>
  <c r="I13" i="21"/>
  <c r="J13" i="21"/>
  <c r="K13" i="21"/>
  <c r="G14" i="21"/>
  <c r="H14" i="21"/>
  <c r="I14" i="21"/>
  <c r="J14" i="21"/>
  <c r="K14" i="21"/>
  <c r="G15" i="21"/>
  <c r="E8" i="22" s="1"/>
  <c r="H15" i="21"/>
  <c r="I15" i="21"/>
  <c r="J15" i="21"/>
  <c r="K15" i="21"/>
  <c r="G16" i="21"/>
  <c r="H16" i="21"/>
  <c r="I16" i="21"/>
  <c r="J16" i="21"/>
  <c r="K16" i="21"/>
  <c r="G17" i="21"/>
  <c r="F8" i="22" s="1" a="1"/>
  <c r="G8" i="22" s="1"/>
  <c r="H17" i="21"/>
  <c r="I17" i="21"/>
  <c r="J17" i="21"/>
  <c r="K17" i="21"/>
  <c r="G18" i="21"/>
  <c r="H18" i="21"/>
  <c r="I18" i="21"/>
  <c r="J18" i="21"/>
  <c r="K18" i="21"/>
  <c r="G19" i="21"/>
  <c r="H19" i="21"/>
  <c r="I19" i="21"/>
  <c r="J19" i="21"/>
  <c r="K19" i="21"/>
  <c r="G20" i="21"/>
  <c r="H20" i="21"/>
  <c r="I20" i="21"/>
  <c r="J20" i="21"/>
  <c r="K20" i="21"/>
  <c r="G21" i="21"/>
  <c r="H21" i="21"/>
  <c r="I21" i="21"/>
  <c r="J21" i="21"/>
  <c r="K21" i="21"/>
  <c r="G22" i="21"/>
  <c r="H22" i="21"/>
  <c r="I22" i="21"/>
  <c r="J22" i="21"/>
  <c r="K22" i="21"/>
  <c r="G23" i="21"/>
  <c r="H23" i="21"/>
  <c r="I23" i="21"/>
  <c r="J23" i="21"/>
  <c r="K23" i="21"/>
  <c r="G24" i="21"/>
  <c r="H24" i="21"/>
  <c r="I24" i="21"/>
  <c r="J24" i="21"/>
  <c r="K24" i="21"/>
  <c r="G25" i="21"/>
  <c r="H25" i="21"/>
  <c r="I25" i="21"/>
  <c r="J25" i="21"/>
  <c r="K25" i="21"/>
  <c r="G26" i="21"/>
  <c r="H26" i="21"/>
  <c r="I26" i="21"/>
  <c r="J26" i="21"/>
  <c r="K26" i="21"/>
  <c r="G27" i="21"/>
  <c r="H27" i="21"/>
  <c r="I27" i="21"/>
  <c r="J27" i="21"/>
  <c r="K27" i="21"/>
  <c r="G28" i="21"/>
  <c r="H28" i="21"/>
  <c r="I28" i="21"/>
  <c r="J28" i="21"/>
  <c r="K28" i="21"/>
  <c r="G29" i="21"/>
  <c r="H29" i="21"/>
  <c r="I29" i="21"/>
  <c r="J29" i="21"/>
  <c r="K29" i="21"/>
  <c r="G30" i="21"/>
  <c r="H30" i="21"/>
  <c r="I30" i="21"/>
  <c r="J30" i="21"/>
  <c r="K30" i="21"/>
  <c r="G31" i="21"/>
  <c r="H31" i="21"/>
  <c r="I31" i="21"/>
  <c r="J31" i="21"/>
  <c r="K31" i="21"/>
  <c r="G32" i="21"/>
  <c r="H32" i="21"/>
  <c r="I32" i="21"/>
  <c r="J32" i="21"/>
  <c r="K32" i="21"/>
  <c r="G33" i="21"/>
  <c r="H33" i="21"/>
  <c r="I33" i="21"/>
  <c r="J33" i="21"/>
  <c r="K33" i="21"/>
  <c r="G34" i="21"/>
  <c r="H34" i="21"/>
  <c r="I34" i="21"/>
  <c r="J34" i="21"/>
  <c r="K34" i="21"/>
  <c r="G35" i="21"/>
  <c r="H35" i="21"/>
  <c r="I35" i="21"/>
  <c r="J35" i="21"/>
  <c r="K35" i="21"/>
  <c r="G36" i="21"/>
  <c r="H36" i="21"/>
  <c r="I36" i="21"/>
  <c r="J36" i="21"/>
  <c r="K36" i="21"/>
  <c r="G37" i="21"/>
  <c r="H37" i="21"/>
  <c r="I37" i="21"/>
  <c r="J37" i="21"/>
  <c r="K37" i="21"/>
  <c r="G38" i="21"/>
  <c r="H38" i="21"/>
  <c r="I38" i="21"/>
  <c r="J38" i="21"/>
  <c r="K38" i="21"/>
  <c r="G39" i="21"/>
  <c r="H39" i="21"/>
  <c r="I39" i="21"/>
  <c r="J39" i="21"/>
  <c r="K39" i="21"/>
  <c r="G40" i="21"/>
  <c r="H40" i="21"/>
  <c r="I40" i="21"/>
  <c r="J40" i="21"/>
  <c r="K40" i="21"/>
  <c r="G41" i="21"/>
  <c r="H41" i="21"/>
  <c r="I41" i="21"/>
  <c r="J41" i="21"/>
  <c r="K41" i="21"/>
  <c r="G42" i="21"/>
  <c r="H42" i="21"/>
  <c r="I42" i="21"/>
  <c r="J42" i="21"/>
  <c r="K42" i="21"/>
  <c r="G43" i="21"/>
  <c r="H43" i="21"/>
  <c r="I43" i="21"/>
  <c r="J43" i="21"/>
  <c r="K43" i="21"/>
  <c r="G44" i="21"/>
  <c r="H44" i="21"/>
  <c r="I44" i="21"/>
  <c r="J44" i="21"/>
  <c r="K44" i="21"/>
  <c r="G45" i="21"/>
  <c r="H45" i="21"/>
  <c r="I45" i="21"/>
  <c r="J45" i="21"/>
  <c r="K45" i="21"/>
  <c r="G46" i="21"/>
  <c r="H46" i="21"/>
  <c r="I46" i="21"/>
  <c r="J46" i="21"/>
  <c r="K46" i="21"/>
  <c r="G47" i="21"/>
  <c r="H47" i="21"/>
  <c r="I47" i="21"/>
  <c r="J47" i="21"/>
  <c r="K47" i="21"/>
  <c r="G48" i="21"/>
  <c r="H48" i="21"/>
  <c r="I48" i="21"/>
  <c r="J48" i="21"/>
  <c r="K48" i="21"/>
  <c r="G49" i="21"/>
  <c r="H49" i="21"/>
  <c r="I49" i="21"/>
  <c r="J49" i="21"/>
  <c r="K49" i="21"/>
  <c r="G50" i="21"/>
  <c r="H50" i="21"/>
  <c r="I50" i="21"/>
  <c r="J50" i="21"/>
  <c r="K50" i="21"/>
  <c r="G51" i="21"/>
  <c r="H51" i="21"/>
  <c r="I51" i="21"/>
  <c r="J51" i="21"/>
  <c r="K51" i="21"/>
  <c r="G52" i="21"/>
  <c r="H52" i="21"/>
  <c r="I52" i="21"/>
  <c r="J52" i="21"/>
  <c r="K52" i="21"/>
  <c r="G53" i="21"/>
  <c r="H53" i="21"/>
  <c r="I53" i="21"/>
  <c r="J53" i="21"/>
  <c r="K53" i="21"/>
  <c r="G54" i="21"/>
  <c r="H54" i="21"/>
  <c r="I54" i="21"/>
  <c r="J54" i="21"/>
  <c r="K54" i="21"/>
  <c r="G55" i="21"/>
  <c r="H55" i="21"/>
  <c r="I55" i="21"/>
  <c r="J55" i="21"/>
  <c r="K55" i="21"/>
  <c r="G56" i="21"/>
  <c r="H56" i="21"/>
  <c r="I56" i="21"/>
  <c r="J56" i="21"/>
  <c r="K56" i="21"/>
  <c r="G57" i="21"/>
  <c r="H57" i="21"/>
  <c r="I57" i="21"/>
  <c r="J57" i="21"/>
  <c r="K57" i="21"/>
  <c r="G58" i="21"/>
  <c r="H58" i="21"/>
  <c r="I58" i="21"/>
  <c r="J58" i="21"/>
  <c r="K58" i="21"/>
  <c r="G59" i="21"/>
  <c r="H59" i="21"/>
  <c r="I59" i="21"/>
  <c r="J59" i="21"/>
  <c r="K59" i="21"/>
  <c r="F10" i="22" a="1"/>
  <c r="C8" i="22" a="1"/>
  <c r="J8" i="22" a="1"/>
  <c r="K8" i="22" s="1"/>
  <c r="L8" i="22" a="1"/>
  <c r="C9" i="22" a="1"/>
  <c r="E9" i="22"/>
  <c r="F9" i="22" a="1"/>
  <c r="G9" i="22" s="1"/>
  <c r="H9" i="22" a="1"/>
  <c r="I9" i="22" s="1"/>
  <c r="J9" i="22" a="1"/>
  <c r="K9" i="22" s="1"/>
  <c r="L9" i="22" a="1"/>
  <c r="M9" i="22" s="1"/>
  <c r="C10" i="22" a="1"/>
  <c r="E10" i="22"/>
  <c r="H10" i="22" s="1" a="1"/>
  <c r="I10" i="22" s="1"/>
  <c r="J10" i="22" a="1"/>
  <c r="K10" i="22" s="1"/>
  <c r="L10" i="22" a="1"/>
  <c r="M10" i="22" s="1"/>
  <c r="C11" i="22" a="1"/>
  <c r="E11" i="22"/>
  <c r="F11" i="22" a="1"/>
  <c r="H11" i="22" a="1"/>
  <c r="I11" i="22" s="1"/>
  <c r="J11" i="22" a="1"/>
  <c r="K11" i="22" s="1"/>
  <c r="L11" i="22" a="1"/>
  <c r="M11" i="22" s="1"/>
  <c r="C12" i="22" a="1"/>
  <c r="E12" i="22"/>
  <c r="F12" i="22" a="1"/>
  <c r="G12" i="22" s="1"/>
  <c r="H12" i="22" a="1"/>
  <c r="I12" i="22" s="1"/>
  <c r="J12" i="22" a="1"/>
  <c r="K12" i="22" s="1"/>
  <c r="L12" i="22" a="1"/>
  <c r="M12" i="22" s="1"/>
  <c r="C17" i="22" a="1"/>
  <c r="E17" i="22"/>
  <c r="F17" i="22" a="1"/>
  <c r="H17" i="22" a="1"/>
  <c r="I17" i="22" s="1"/>
  <c r="J17" i="22" a="1"/>
  <c r="K17" i="22" s="1"/>
  <c r="L17" i="22" a="1"/>
  <c r="M17" i="22" s="1"/>
  <c r="C18" i="22" a="1"/>
  <c r="E18" i="22"/>
  <c r="F18" i="22" a="1"/>
  <c r="H18" i="22" a="1"/>
  <c r="I18" i="22" s="1"/>
  <c r="J18" i="22" a="1"/>
  <c r="K18" i="22" s="1"/>
  <c r="L18" i="22" a="1"/>
  <c r="M18" i="22" s="1"/>
  <c r="C19" i="22" a="1"/>
  <c r="E19" i="22"/>
  <c r="F19" i="22" a="1"/>
  <c r="H19" i="22" a="1"/>
  <c r="I19" i="22" s="1"/>
  <c r="J19" i="22" a="1"/>
  <c r="K19" i="22" s="1"/>
  <c r="L19" i="22" a="1"/>
  <c r="M19" i="22" s="1"/>
  <c r="C20" i="22" a="1"/>
  <c r="E20" i="22"/>
  <c r="H20" i="22" s="1" a="1"/>
  <c r="I20" i="22" s="1"/>
  <c r="F20" i="22" a="1"/>
  <c r="J20" i="22" a="1"/>
  <c r="K20" i="22" s="1"/>
  <c r="L20" i="22" a="1"/>
  <c r="M20" i="22" s="1"/>
  <c r="C21" i="22" a="1"/>
  <c r="E21" i="22"/>
  <c r="F21" i="22" a="1"/>
  <c r="H21" i="22" a="1"/>
  <c r="I21" i="22" s="1"/>
  <c r="J21" i="22" a="1"/>
  <c r="K21" i="22" s="1"/>
  <c r="L21" i="22" a="1"/>
  <c r="M21" i="22" s="1"/>
  <c r="C26" i="22" a="1"/>
  <c r="E26" i="22"/>
  <c r="F26" i="22" a="1"/>
  <c r="H26" i="22" a="1"/>
  <c r="I26" i="22" s="1"/>
  <c r="J26" i="22" a="1"/>
  <c r="K26" i="22" s="1"/>
  <c r="L26" i="22" a="1"/>
  <c r="M26" i="22" s="1"/>
  <c r="C27" i="22" a="1"/>
  <c r="E27" i="22"/>
  <c r="H27" i="22" s="1" a="1"/>
  <c r="I27" i="22" s="1"/>
  <c r="F27" i="22" a="1"/>
  <c r="J27" i="22" a="1"/>
  <c r="K27" i="22" s="1"/>
  <c r="L27" i="22" a="1"/>
  <c r="C28" i="22" a="1"/>
  <c r="E28" i="22"/>
  <c r="H28" i="22" s="1" a="1"/>
  <c r="I28" i="22" s="1"/>
  <c r="F28" i="22" a="1"/>
  <c r="J28" i="22" a="1"/>
  <c r="K28" i="22" s="1"/>
  <c r="L28" i="22" a="1"/>
  <c r="C29" i="22" a="1"/>
  <c r="E29" i="22"/>
  <c r="F29" i="22" a="1"/>
  <c r="H29" i="22" a="1"/>
  <c r="I29" i="22" s="1"/>
  <c r="J29" i="22" a="1"/>
  <c r="K29" i="22" s="1"/>
  <c r="L29" i="22" a="1"/>
  <c r="M29" i="22" s="1"/>
  <c r="C30" i="22" a="1"/>
  <c r="E30" i="22"/>
  <c r="H30" i="22" s="1" a="1"/>
  <c r="I30" i="22" s="1"/>
  <c r="F30" i="22" a="1"/>
  <c r="J30" i="22" a="1"/>
  <c r="K30" i="22" s="1"/>
  <c r="C6" i="21"/>
  <c r="D6" i="21"/>
  <c r="E6" i="21"/>
  <c r="C7" i="21"/>
  <c r="D7" i="21"/>
  <c r="E7" i="21"/>
  <c r="C8" i="21"/>
  <c r="D8" i="21"/>
  <c r="E8" i="21"/>
  <c r="C9" i="21"/>
  <c r="D9" i="21"/>
  <c r="E9" i="21"/>
  <c r="C10" i="21"/>
  <c r="D10" i="21"/>
  <c r="E10" i="21"/>
  <c r="C11" i="21"/>
  <c r="D11" i="21"/>
  <c r="E11" i="21"/>
  <c r="C12" i="21"/>
  <c r="D12" i="21"/>
  <c r="E12" i="21"/>
  <c r="C13" i="21"/>
  <c r="D13" i="21"/>
  <c r="E13" i="21"/>
  <c r="C14" i="21"/>
  <c r="D14" i="21"/>
  <c r="E14" i="21"/>
  <c r="C15" i="21"/>
  <c r="D15" i="21"/>
  <c r="E15" i="21"/>
  <c r="C16" i="21"/>
  <c r="D16" i="21"/>
  <c r="E16" i="21"/>
  <c r="C17" i="21"/>
  <c r="D17" i="21"/>
  <c r="E17" i="21"/>
  <c r="C18" i="21"/>
  <c r="D18" i="21"/>
  <c r="E18" i="21"/>
  <c r="C19" i="21"/>
  <c r="D19" i="21"/>
  <c r="E19" i="21"/>
  <c r="C20" i="21"/>
  <c r="D20" i="21"/>
  <c r="E20" i="21"/>
  <c r="C21" i="21"/>
  <c r="D21" i="21"/>
  <c r="E21" i="21"/>
  <c r="C22" i="21"/>
  <c r="D22" i="21"/>
  <c r="E22" i="21"/>
  <c r="C23" i="21"/>
  <c r="D23" i="21"/>
  <c r="E23" i="21"/>
  <c r="C24" i="21"/>
  <c r="D24" i="21"/>
  <c r="E24" i="21"/>
  <c r="C25" i="21"/>
  <c r="D25" i="21"/>
  <c r="E25" i="21"/>
  <c r="C26" i="21"/>
  <c r="D26" i="21"/>
  <c r="E26" i="21"/>
  <c r="C27" i="21"/>
  <c r="D27" i="21"/>
  <c r="E27" i="21"/>
  <c r="C28" i="21"/>
  <c r="D28" i="21"/>
  <c r="E28" i="21"/>
  <c r="C29" i="21"/>
  <c r="D29" i="21"/>
  <c r="E29" i="21"/>
  <c r="C30" i="21"/>
  <c r="D30" i="21"/>
  <c r="E30" i="21"/>
  <c r="C31" i="21"/>
  <c r="D31" i="21"/>
  <c r="E31" i="21"/>
  <c r="C32" i="21"/>
  <c r="D32" i="21"/>
  <c r="E32" i="21"/>
  <c r="C33" i="21"/>
  <c r="D33" i="21"/>
  <c r="E33" i="21"/>
  <c r="C34" i="21"/>
  <c r="D34" i="21"/>
  <c r="E34" i="21"/>
  <c r="C35" i="21"/>
  <c r="D35" i="21"/>
  <c r="E35" i="21"/>
  <c r="C36" i="21"/>
  <c r="D36" i="21"/>
  <c r="E36" i="21"/>
  <c r="C37" i="21"/>
  <c r="D37" i="21"/>
  <c r="E37" i="21"/>
  <c r="C38" i="21"/>
  <c r="D38" i="21"/>
  <c r="E38" i="21"/>
  <c r="C39" i="21"/>
  <c r="D39" i="21"/>
  <c r="E39" i="21"/>
  <c r="C40" i="21"/>
  <c r="D40" i="21"/>
  <c r="E40" i="21"/>
  <c r="C41" i="21"/>
  <c r="D41" i="21"/>
  <c r="E41" i="21"/>
  <c r="C42" i="21"/>
  <c r="D42" i="21"/>
  <c r="E42" i="21"/>
  <c r="C43" i="21"/>
  <c r="D43" i="21"/>
  <c r="E43" i="21"/>
  <c r="C44" i="21"/>
  <c r="D44" i="21"/>
  <c r="E44" i="21"/>
  <c r="C45" i="21"/>
  <c r="D45" i="21"/>
  <c r="E45" i="21"/>
  <c r="C46" i="21"/>
  <c r="D46" i="21"/>
  <c r="E46" i="21"/>
  <c r="C47" i="21"/>
  <c r="D47" i="21"/>
  <c r="E47" i="21"/>
  <c r="C48" i="21"/>
  <c r="D48" i="21"/>
  <c r="E48" i="21"/>
  <c r="C49" i="21"/>
  <c r="D49" i="21"/>
  <c r="E49" i="21"/>
  <c r="C50" i="21"/>
  <c r="D50" i="21"/>
  <c r="E50" i="21"/>
  <c r="C51" i="21"/>
  <c r="D51" i="21"/>
  <c r="E51" i="21"/>
  <c r="C52" i="21"/>
  <c r="D52" i="21"/>
  <c r="E52" i="21"/>
  <c r="C53" i="21"/>
  <c r="D53" i="21"/>
  <c r="E53" i="21"/>
  <c r="C54" i="21"/>
  <c r="D54" i="21"/>
  <c r="E54" i="21"/>
  <c r="C55" i="21"/>
  <c r="D55" i="21"/>
  <c r="E55" i="21"/>
  <c r="C56" i="21"/>
  <c r="D56" i="21"/>
  <c r="E56" i="21"/>
  <c r="C57" i="21"/>
  <c r="D57" i="21"/>
  <c r="E57" i="21"/>
  <c r="C58" i="21"/>
  <c r="D58" i="21"/>
  <c r="E58" i="21"/>
  <c r="C59" i="21"/>
  <c r="D59" i="21"/>
  <c r="E59" i="21"/>
  <c r="G6" i="20"/>
  <c r="G7" i="20" s="1"/>
  <c r="G8" i="20" s="1"/>
  <c r="B7" i="20"/>
  <c r="B8" i="20" a="1"/>
  <c r="H8" i="20" a="1"/>
  <c r="H12" i="20"/>
  <c r="I12" i="20" s="1"/>
  <c r="K12" i="20" s="1"/>
  <c r="J12" i="20"/>
  <c r="H13" i="20"/>
  <c r="I13" i="20" s="1"/>
  <c r="K13" i="20" s="1"/>
  <c r="J13" i="20"/>
  <c r="H14" i="20"/>
  <c r="I14" i="20" s="1"/>
  <c r="K14" i="20" s="1"/>
  <c r="J14" i="20"/>
  <c r="H15" i="20"/>
  <c r="I15" i="20" s="1"/>
  <c r="K15" i="20" s="1"/>
  <c r="J15" i="20"/>
  <c r="H16" i="20"/>
  <c r="I16" i="20" s="1"/>
  <c r="K16" i="20" s="1"/>
  <c r="J16" i="20"/>
  <c r="H17" i="20"/>
  <c r="I17" i="20" s="1"/>
  <c r="K17" i="20" s="1"/>
  <c r="J17" i="20"/>
  <c r="H18" i="20"/>
  <c r="I18" i="20" s="1"/>
  <c r="K18" i="20" s="1"/>
  <c r="J18" i="20"/>
  <c r="H19" i="20"/>
  <c r="I19" i="20" s="1"/>
  <c r="K19" i="20" s="1"/>
  <c r="J19" i="20"/>
  <c r="H20" i="20"/>
  <c r="I20" i="20" s="1"/>
  <c r="K20" i="20" s="1"/>
  <c r="J20" i="20"/>
  <c r="H21" i="20"/>
  <c r="I21" i="20" s="1"/>
  <c r="K21" i="20" s="1"/>
  <c r="J21" i="20"/>
  <c r="H22" i="20"/>
  <c r="I22" i="20"/>
  <c r="J22" i="20"/>
  <c r="K22" i="20"/>
  <c r="L22" i="20"/>
  <c r="M22" i="20"/>
  <c r="N22" i="20"/>
  <c r="R22" i="20"/>
  <c r="H23" i="20"/>
  <c r="I23" i="20"/>
  <c r="J23" i="20"/>
  <c r="K23" i="20"/>
  <c r="L23" i="20"/>
  <c r="M23" i="20"/>
  <c r="N23" i="20"/>
  <c r="R23" i="20"/>
  <c r="H24" i="20"/>
  <c r="I24" i="20"/>
  <c r="J24" i="20"/>
  <c r="K24" i="20" s="1"/>
  <c r="H25" i="20"/>
  <c r="I25" i="20" s="1"/>
  <c r="K25" i="20" s="1"/>
  <c r="J25" i="20"/>
  <c r="H26" i="20"/>
  <c r="I26" i="20" s="1"/>
  <c r="K26" i="20" s="1"/>
  <c r="J26" i="20"/>
  <c r="G6" i="19"/>
  <c r="G7" i="19" s="1"/>
  <c r="G8" i="19" s="1"/>
  <c r="B7" i="19"/>
  <c r="B8" i="19" a="1"/>
  <c r="H8" i="19" a="1"/>
  <c r="H12" i="19"/>
  <c r="I12" i="19"/>
  <c r="J12" i="19"/>
  <c r="K12" i="19"/>
  <c r="L12" i="19"/>
  <c r="M12" i="19"/>
  <c r="N12" i="19"/>
  <c r="R12" i="19"/>
  <c r="H13" i="19"/>
  <c r="I13" i="19"/>
  <c r="J13" i="19"/>
  <c r="K13" i="19"/>
  <c r="L13" i="19"/>
  <c r="M13" i="19"/>
  <c r="N13" i="19"/>
  <c r="R13" i="19"/>
  <c r="H14" i="19"/>
  <c r="I14" i="19"/>
  <c r="J14" i="19"/>
  <c r="K14" i="19"/>
  <c r="L14" i="19"/>
  <c r="M14" i="19"/>
  <c r="N14" i="19"/>
  <c r="R14" i="19"/>
  <c r="H15" i="19"/>
  <c r="I15" i="19"/>
  <c r="K15" i="19" s="1"/>
  <c r="J15" i="19"/>
  <c r="H16" i="19"/>
  <c r="I16" i="19" s="1"/>
  <c r="K16" i="19" s="1"/>
  <c r="J16" i="19"/>
  <c r="H17" i="19"/>
  <c r="I17" i="19" s="1"/>
  <c r="K17" i="19" s="1"/>
  <c r="J17" i="19"/>
  <c r="H18" i="19"/>
  <c r="I18" i="19" s="1"/>
  <c r="K18" i="19" s="1"/>
  <c r="J18" i="19"/>
  <c r="H19" i="19"/>
  <c r="I19" i="19" s="1"/>
  <c r="K19" i="19" s="1"/>
  <c r="J19" i="19"/>
  <c r="H20" i="19"/>
  <c r="I20" i="19" s="1"/>
  <c r="K20" i="19" s="1"/>
  <c r="J20" i="19"/>
  <c r="H21" i="19"/>
  <c r="I21" i="19"/>
  <c r="K21" i="19" s="1"/>
  <c r="J21" i="19"/>
  <c r="H22" i="19"/>
  <c r="I22" i="19"/>
  <c r="J22" i="19"/>
  <c r="K22" i="19"/>
  <c r="L22" i="19"/>
  <c r="M22" i="19"/>
  <c r="N22" i="19"/>
  <c r="R22" i="19"/>
  <c r="H23" i="19"/>
  <c r="I23" i="19" s="1"/>
  <c r="K23" i="19" s="1"/>
  <c r="J23" i="19"/>
  <c r="M27" i="22" l="1"/>
  <c r="M28" i="22"/>
  <c r="G10" i="22"/>
  <c r="L30" i="22" a="1"/>
  <c r="M30" i="22" s="1"/>
  <c r="N30" i="22" s="1"/>
  <c r="M8" i="22"/>
  <c r="H8" i="22" a="1"/>
  <c r="I8" i="22" s="1"/>
  <c r="N8" i="22" s="1"/>
  <c r="N9" i="22"/>
  <c r="N11" i="22"/>
  <c r="G11" i="22"/>
  <c r="G17" i="22"/>
  <c r="N17" i="22"/>
  <c r="N18" i="22"/>
  <c r="G18" i="22"/>
  <c r="N19" i="22"/>
  <c r="G19" i="22"/>
  <c r="N20" i="22"/>
  <c r="G20" i="22"/>
  <c r="N21" i="22"/>
  <c r="G21" i="22"/>
  <c r="N26" i="22"/>
  <c r="G26" i="22"/>
  <c r="N27" i="22"/>
  <c r="G27" i="22"/>
  <c r="N28" i="22"/>
  <c r="G28" i="22"/>
  <c r="N29" i="22"/>
  <c r="G29" i="22"/>
  <c r="G30" i="22"/>
  <c r="N12" i="22"/>
  <c r="N10" i="22"/>
  <c r="S23" i="20"/>
  <c r="O23" i="20"/>
  <c r="S22" i="20"/>
  <c r="O22" i="20"/>
  <c r="M12" i="20"/>
  <c r="L12" i="20"/>
  <c r="M13" i="20"/>
  <c r="L13" i="20"/>
  <c r="M14" i="20"/>
  <c r="L14" i="20"/>
  <c r="M15" i="20"/>
  <c r="L15" i="20"/>
  <c r="M16" i="20"/>
  <c r="L16" i="20"/>
  <c r="M17" i="20"/>
  <c r="L17" i="20"/>
  <c r="L18" i="20"/>
  <c r="M18" i="20"/>
  <c r="L19" i="20"/>
  <c r="M19" i="20"/>
  <c r="M20" i="20"/>
  <c r="L20" i="20"/>
  <c r="M21" i="20"/>
  <c r="L21" i="20"/>
  <c r="M24" i="20"/>
  <c r="L24" i="20"/>
  <c r="L25" i="20"/>
  <c r="M25" i="20"/>
  <c r="M26" i="20"/>
  <c r="L26" i="20"/>
  <c r="S22" i="19"/>
  <c r="O22" i="19"/>
  <c r="S14" i="19"/>
  <c r="O14" i="19"/>
  <c r="S13" i="19"/>
  <c r="O13" i="19"/>
  <c r="S12" i="19"/>
  <c r="O12" i="19"/>
  <c r="M15" i="19"/>
  <c r="L15" i="19"/>
  <c r="L16" i="19"/>
  <c r="M16" i="19"/>
  <c r="L17" i="19"/>
  <c r="M17" i="19"/>
  <c r="L18" i="19"/>
  <c r="M18" i="19"/>
  <c r="L19" i="19"/>
  <c r="M19" i="19"/>
  <c r="L20" i="19"/>
  <c r="M20" i="19"/>
  <c r="L21" i="19"/>
  <c r="M21" i="19"/>
  <c r="L23" i="19"/>
  <c r="M23" i="19"/>
  <c r="B11" i="22" l="1"/>
  <c r="O11" i="22"/>
  <c r="B17" i="22"/>
  <c r="O17" i="22"/>
  <c r="B18" i="22"/>
  <c r="O18" i="22"/>
  <c r="B19" i="22"/>
  <c r="O19" i="22"/>
  <c r="B20" i="22"/>
  <c r="O20" i="22"/>
  <c r="O21" i="22"/>
  <c r="B21" i="22"/>
  <c r="B26" i="22"/>
  <c r="O26" i="22"/>
  <c r="B27" i="22"/>
  <c r="O27" i="22"/>
  <c r="B28" i="22"/>
  <c r="O28" i="22"/>
  <c r="B29" i="22"/>
  <c r="O29" i="22"/>
  <c r="O30" i="22"/>
  <c r="B30" i="22"/>
  <c r="O12" i="22"/>
  <c r="B12" i="22"/>
  <c r="O8" i="22"/>
  <c r="B8" i="22"/>
  <c r="B10" i="22"/>
  <c r="O10" i="22"/>
  <c r="O9" i="22"/>
  <c r="B9" i="22"/>
  <c r="AO23" i="20"/>
  <c r="AK23" i="20"/>
  <c r="AG23" i="20"/>
  <c r="AC23" i="20"/>
  <c r="Y23" i="20"/>
  <c r="T23" i="20"/>
  <c r="AN23" i="20"/>
  <c r="AJ23" i="20"/>
  <c r="AF23" i="20"/>
  <c r="AB23" i="20"/>
  <c r="X23" i="20"/>
  <c r="P23" i="20"/>
  <c r="AO22" i="20"/>
  <c r="AK22" i="20"/>
  <c r="AG22" i="20"/>
  <c r="AC22" i="20"/>
  <c r="Y22" i="20"/>
  <c r="T22" i="20"/>
  <c r="AN22" i="20"/>
  <c r="AJ22" i="20"/>
  <c r="AF22" i="20"/>
  <c r="AB22" i="20"/>
  <c r="X22" i="20"/>
  <c r="P22" i="20"/>
  <c r="R12" i="20"/>
  <c r="S12" i="20" s="1"/>
  <c r="N12" i="20"/>
  <c r="O12" i="20" s="1"/>
  <c r="R13" i="20"/>
  <c r="S13" i="20" s="1"/>
  <c r="N13" i="20"/>
  <c r="O13" i="20" s="1"/>
  <c r="R14" i="20"/>
  <c r="S14" i="20" s="1"/>
  <c r="N14" i="20"/>
  <c r="O14" i="20" s="1"/>
  <c r="R15" i="20"/>
  <c r="S15" i="20" s="1"/>
  <c r="N15" i="20"/>
  <c r="O15" i="20" s="1"/>
  <c r="R16" i="20"/>
  <c r="S16" i="20" s="1"/>
  <c r="N16" i="20"/>
  <c r="O16" i="20" s="1"/>
  <c r="R17" i="20"/>
  <c r="S17" i="20" s="1"/>
  <c r="N17" i="20"/>
  <c r="O17" i="20" s="1"/>
  <c r="R18" i="20"/>
  <c r="S18" i="20" s="1"/>
  <c r="N18" i="20"/>
  <c r="O18" i="20" s="1"/>
  <c r="R19" i="20"/>
  <c r="S19" i="20" s="1"/>
  <c r="N19" i="20"/>
  <c r="O19" i="20" s="1"/>
  <c r="N20" i="20"/>
  <c r="O20" i="20" s="1"/>
  <c r="R20" i="20"/>
  <c r="S20" i="20" s="1"/>
  <c r="R21" i="20"/>
  <c r="S21" i="20" s="1"/>
  <c r="N21" i="20"/>
  <c r="O21" i="20" s="1"/>
  <c r="R24" i="20"/>
  <c r="S24" i="20" s="1"/>
  <c r="N24" i="20"/>
  <c r="O24" i="20" s="1"/>
  <c r="N25" i="20"/>
  <c r="O25" i="20" s="1"/>
  <c r="R25" i="20"/>
  <c r="S25" i="20" s="1"/>
  <c r="R26" i="20"/>
  <c r="S26" i="20" s="1"/>
  <c r="N26" i="20"/>
  <c r="O26" i="20" s="1"/>
  <c r="AO22" i="19"/>
  <c r="AK22" i="19"/>
  <c r="AG22" i="19"/>
  <c r="AC22" i="19"/>
  <c r="Y22" i="19"/>
  <c r="T22" i="19"/>
  <c r="AN22" i="19"/>
  <c r="AJ22" i="19"/>
  <c r="AF22" i="19"/>
  <c r="AB22" i="19"/>
  <c r="X22" i="19"/>
  <c r="P22" i="19"/>
  <c r="AG14" i="19"/>
  <c r="AO14" i="19"/>
  <c r="AK14" i="19"/>
  <c r="AC14" i="19"/>
  <c r="Y14" i="19"/>
  <c r="T14" i="19"/>
  <c r="AJ14" i="19"/>
  <c r="AN14" i="19"/>
  <c r="AF14" i="19"/>
  <c r="AB14" i="19"/>
  <c r="X14" i="19"/>
  <c r="P14" i="19"/>
  <c r="AK13" i="19"/>
  <c r="AO13" i="19"/>
  <c r="AG13" i="19"/>
  <c r="AC13" i="19"/>
  <c r="Y13" i="19"/>
  <c r="T13" i="19"/>
  <c r="AN13" i="19"/>
  <c r="AJ13" i="19"/>
  <c r="AF13" i="19"/>
  <c r="AB13" i="19"/>
  <c r="X13" i="19"/>
  <c r="P13" i="19"/>
  <c r="Y12" i="19"/>
  <c r="AO12" i="19"/>
  <c r="AK12" i="19"/>
  <c r="AG12" i="19"/>
  <c r="AC12" i="19"/>
  <c r="T12" i="19"/>
  <c r="AN12" i="19"/>
  <c r="AJ12" i="19"/>
  <c r="AF12" i="19"/>
  <c r="AB12" i="19"/>
  <c r="X12" i="19"/>
  <c r="P12" i="19"/>
  <c r="R15" i="19"/>
  <c r="S15" i="19" s="1"/>
  <c r="N15" i="19"/>
  <c r="O15" i="19" s="1"/>
  <c r="R16" i="19"/>
  <c r="S16" i="19" s="1"/>
  <c r="N16" i="19"/>
  <c r="O16" i="19" s="1"/>
  <c r="R17" i="19"/>
  <c r="S17" i="19" s="1"/>
  <c r="N17" i="19"/>
  <c r="O17" i="19" s="1"/>
  <c r="R18" i="19"/>
  <c r="S18" i="19" s="1"/>
  <c r="N18" i="19"/>
  <c r="O18" i="19" s="1"/>
  <c r="R19" i="19"/>
  <c r="S19" i="19" s="1"/>
  <c r="N19" i="19"/>
  <c r="O19" i="19" s="1"/>
  <c r="N20" i="19"/>
  <c r="O20" i="19" s="1"/>
  <c r="R20" i="19"/>
  <c r="S20" i="19" s="1"/>
  <c r="R21" i="19"/>
  <c r="S21" i="19" s="1"/>
  <c r="N21" i="19"/>
  <c r="O21" i="19" s="1"/>
  <c r="R23" i="19"/>
  <c r="S23" i="19" s="1"/>
  <c r="N23" i="19"/>
  <c r="O23" i="19" s="1"/>
  <c r="J35" i="22" l="1"/>
  <c r="G36" i="22"/>
  <c r="J36" i="22"/>
  <c r="H35" i="22"/>
  <c r="J39" i="22"/>
  <c r="H39" i="22"/>
  <c r="G39" i="22"/>
  <c r="J38" i="22"/>
  <c r="H38" i="22"/>
  <c r="G38" i="22"/>
  <c r="J37" i="22"/>
  <c r="H37" i="22"/>
  <c r="G37" i="22"/>
  <c r="H36" i="22"/>
  <c r="G35" i="22"/>
  <c r="L36" i="22"/>
  <c r="N35" i="22"/>
  <c r="N39" i="22"/>
  <c r="L39" i="22"/>
  <c r="K39" i="22"/>
  <c r="N38" i="22"/>
  <c r="L38" i="22"/>
  <c r="K38" i="22"/>
  <c r="N37" i="22"/>
  <c r="L37" i="22"/>
  <c r="K37" i="22"/>
  <c r="N36" i="22"/>
  <c r="K36" i="22"/>
  <c r="K35" i="22"/>
  <c r="L35" i="22"/>
  <c r="C35" i="22"/>
  <c r="D36" i="22"/>
  <c r="C36" i="22"/>
  <c r="F35" i="22"/>
  <c r="F39" i="22"/>
  <c r="D39" i="22"/>
  <c r="C39" i="22"/>
  <c r="F38" i="22"/>
  <c r="D38" i="22"/>
  <c r="C38" i="22"/>
  <c r="F37" i="22"/>
  <c r="D37" i="22"/>
  <c r="C37" i="22"/>
  <c r="D35" i="22"/>
  <c r="F36" i="22"/>
  <c r="T12" i="20"/>
  <c r="AC12" i="20"/>
  <c r="AG12" i="20"/>
  <c r="Y12" i="20"/>
  <c r="AO12" i="20"/>
  <c r="AK12" i="20"/>
  <c r="P12" i="20"/>
  <c r="X12" i="20"/>
  <c r="AF12" i="20"/>
  <c r="AN12" i="20"/>
  <c r="AJ12" i="20"/>
  <c r="AB12" i="20"/>
  <c r="AC13" i="20"/>
  <c r="T13" i="20"/>
  <c r="AG13" i="20"/>
  <c r="AO13" i="20"/>
  <c r="Y13" i="20"/>
  <c r="AK13" i="20"/>
  <c r="AB13" i="20"/>
  <c r="AF13" i="20"/>
  <c r="P13" i="20"/>
  <c r="X13" i="20"/>
  <c r="AJ13" i="20"/>
  <c r="AN13" i="20"/>
  <c r="AK14" i="20"/>
  <c r="AO14" i="20"/>
  <c r="T14" i="20"/>
  <c r="Y14" i="20"/>
  <c r="AC14" i="20"/>
  <c r="AG14" i="20"/>
  <c r="AN14" i="20"/>
  <c r="P14" i="20"/>
  <c r="X14" i="20"/>
  <c r="AF14" i="20"/>
  <c r="AB14" i="20"/>
  <c r="AJ14" i="20"/>
  <c r="AC15" i="20"/>
  <c r="AO15" i="20"/>
  <c r="T15" i="20"/>
  <c r="AG15" i="20"/>
  <c r="Y15" i="20"/>
  <c r="AK15" i="20"/>
  <c r="P15" i="20"/>
  <c r="AF15" i="20"/>
  <c r="X15" i="20"/>
  <c r="AJ15" i="20"/>
  <c r="AB15" i="20"/>
  <c r="AN15" i="20"/>
  <c r="Y16" i="20"/>
  <c r="AK16" i="20"/>
  <c r="AC16" i="20"/>
  <c r="T16" i="20"/>
  <c r="AG16" i="20"/>
  <c r="AO16" i="20"/>
  <c r="AF16" i="20"/>
  <c r="X16" i="20"/>
  <c r="AJ16" i="20"/>
  <c r="AN16" i="20"/>
  <c r="P16" i="20"/>
  <c r="AB16" i="20"/>
  <c r="AG17" i="20"/>
  <c r="Y17" i="20"/>
  <c r="AK17" i="20"/>
  <c r="AC17" i="20"/>
  <c r="T17" i="20"/>
  <c r="AO17" i="20"/>
  <c r="AF17" i="20"/>
  <c r="AB17" i="20"/>
  <c r="AJ17" i="20"/>
  <c r="P17" i="20"/>
  <c r="X17" i="20"/>
  <c r="AN17" i="20"/>
  <c r="AC18" i="20"/>
  <c r="AK18" i="20"/>
  <c r="T18" i="20"/>
  <c r="Y18" i="20"/>
  <c r="AG18" i="20"/>
  <c r="AO18" i="20"/>
  <c r="X18" i="20"/>
  <c r="AF18" i="20"/>
  <c r="P18" i="20"/>
  <c r="AB18" i="20"/>
  <c r="AJ18" i="20"/>
  <c r="AN18" i="20"/>
  <c r="Y19" i="20"/>
  <c r="AG19" i="20"/>
  <c r="AO19" i="20"/>
  <c r="T19" i="20"/>
  <c r="AC19" i="20"/>
  <c r="AK19" i="20"/>
  <c r="AB19" i="20"/>
  <c r="P19" i="20"/>
  <c r="AN19" i="20"/>
  <c r="AF19" i="20"/>
  <c r="X19" i="20"/>
  <c r="AJ19" i="20"/>
  <c r="AF20" i="20"/>
  <c r="AB20" i="20"/>
  <c r="AN20" i="20"/>
  <c r="P20" i="20"/>
  <c r="X20" i="20"/>
  <c r="AJ20" i="20"/>
  <c r="Y20" i="20"/>
  <c r="AK20" i="20"/>
  <c r="T20" i="20"/>
  <c r="AC20" i="20"/>
  <c r="AG20" i="20"/>
  <c r="AO20" i="20"/>
  <c r="T21" i="20"/>
  <c r="Y21" i="20"/>
  <c r="AC21" i="20"/>
  <c r="AG21" i="20"/>
  <c r="AK21" i="20"/>
  <c r="AO21" i="20"/>
  <c r="P21" i="20"/>
  <c r="X21" i="20"/>
  <c r="AB21" i="20"/>
  <c r="AF21" i="20"/>
  <c r="AJ21" i="20"/>
  <c r="AN21" i="20"/>
  <c r="AK24" i="20"/>
  <c r="T24" i="20"/>
  <c r="AC24" i="20"/>
  <c r="AG24" i="20"/>
  <c r="Y24" i="20"/>
  <c r="AO24" i="20"/>
  <c r="X24" i="20"/>
  <c r="AB24" i="20"/>
  <c r="AF24" i="20"/>
  <c r="P24" i="20"/>
  <c r="AJ24" i="20"/>
  <c r="AN24" i="20"/>
  <c r="X25" i="20"/>
  <c r="AJ25" i="20"/>
  <c r="P25" i="20"/>
  <c r="AB25" i="20"/>
  <c r="AF25" i="20"/>
  <c r="AN25" i="20"/>
  <c r="AG25" i="20"/>
  <c r="T25" i="20"/>
  <c r="AC25" i="20"/>
  <c r="Y25" i="20"/>
  <c r="AO25" i="20"/>
  <c r="AK25" i="20"/>
  <c r="AK26" i="20"/>
  <c r="T26" i="20"/>
  <c r="AG26" i="20"/>
  <c r="AC26" i="20"/>
  <c r="Y26" i="20"/>
  <c r="AO26" i="20"/>
  <c r="X26" i="20"/>
  <c r="AF26" i="20"/>
  <c r="AB26" i="20"/>
  <c r="AJ26" i="20"/>
  <c r="AN26" i="20"/>
  <c r="P26" i="20"/>
  <c r="AO15" i="19"/>
  <c r="AC15" i="19"/>
  <c r="AK15" i="19"/>
  <c r="T15" i="19"/>
  <c r="Y15" i="19"/>
  <c r="AG15" i="19"/>
  <c r="P15" i="19"/>
  <c r="AJ15" i="19"/>
  <c r="X15" i="19"/>
  <c r="AF15" i="19"/>
  <c r="AB15" i="19"/>
  <c r="AN15" i="19"/>
  <c r="Y16" i="19"/>
  <c r="AG16" i="19"/>
  <c r="AK16" i="19"/>
  <c r="T16" i="19"/>
  <c r="AC16" i="19"/>
  <c r="AO16" i="19"/>
  <c r="AB16" i="19"/>
  <c r="AJ16" i="19"/>
  <c r="P16" i="19"/>
  <c r="AF16" i="19"/>
  <c r="AN16" i="19"/>
  <c r="X16" i="19"/>
  <c r="AO17" i="19"/>
  <c r="AG17" i="19"/>
  <c r="AK17" i="19"/>
  <c r="AC17" i="19"/>
  <c r="T17" i="19"/>
  <c r="Y17" i="19"/>
  <c r="AN17" i="19"/>
  <c r="X17" i="19"/>
  <c r="AF17" i="19"/>
  <c r="AJ17" i="19"/>
  <c r="P17" i="19"/>
  <c r="AB17" i="19"/>
  <c r="AG18" i="19"/>
  <c r="T18" i="19"/>
  <c r="AC18" i="19"/>
  <c r="Y18" i="19"/>
  <c r="AK18" i="19"/>
  <c r="AO18" i="19"/>
  <c r="AB18" i="19"/>
  <c r="AN18" i="19"/>
  <c r="P18" i="19"/>
  <c r="AJ18" i="19"/>
  <c r="AF18" i="19"/>
  <c r="X18" i="19"/>
  <c r="T19" i="19"/>
  <c r="AC19" i="19"/>
  <c r="AK19" i="19"/>
  <c r="Y19" i="19"/>
  <c r="AO19" i="19"/>
  <c r="AG19" i="19"/>
  <c r="AB19" i="19"/>
  <c r="AJ19" i="19"/>
  <c r="P19" i="19"/>
  <c r="AN19" i="19"/>
  <c r="X19" i="19"/>
  <c r="AF19" i="19"/>
  <c r="AB20" i="19"/>
  <c r="AF20" i="19"/>
  <c r="X20" i="19"/>
  <c r="AN20" i="19"/>
  <c r="AJ20" i="19"/>
  <c r="P20" i="19"/>
  <c r="Y20" i="19"/>
  <c r="AO20" i="19"/>
  <c r="AC20" i="19"/>
  <c r="T20" i="19"/>
  <c r="AK20" i="19"/>
  <c r="AG20" i="19"/>
  <c r="AG21" i="19"/>
  <c r="AK21" i="19"/>
  <c r="AO21" i="19"/>
  <c r="Y21" i="19"/>
  <c r="T21" i="19"/>
  <c r="AC21" i="19"/>
  <c r="AF21" i="19"/>
  <c r="X21" i="19"/>
  <c r="AJ21" i="19"/>
  <c r="AN21" i="19"/>
  <c r="P21" i="19"/>
  <c r="AB21" i="19"/>
  <c r="T23" i="19"/>
  <c r="AG23" i="19"/>
  <c r="AO23" i="19"/>
  <c r="Y23" i="19"/>
  <c r="AC23" i="19"/>
  <c r="AK23" i="19"/>
  <c r="X23" i="19"/>
  <c r="AB23" i="19"/>
  <c r="AJ23" i="19"/>
  <c r="AF23" i="19"/>
  <c r="P23" i="19"/>
  <c r="AN23" i="19"/>
  <c r="AF27" i="20" l="1"/>
  <c r="AB27" i="20"/>
  <c r="AC27" i="20"/>
  <c r="AC28" i="20" s="1"/>
  <c r="AG27" i="20"/>
  <c r="AG28" i="20" s="1"/>
  <c r="Y27" i="20"/>
  <c r="Y28" i="20" s="1"/>
  <c r="AO27" i="20"/>
  <c r="AO28" i="20" s="1"/>
  <c r="AK27" i="20"/>
  <c r="AK28" i="20" s="1"/>
  <c r="X27" i="20"/>
  <c r="AN27" i="20"/>
  <c r="AJ27" i="20"/>
  <c r="AO24" i="19"/>
  <c r="AC24" i="19"/>
  <c r="AK24" i="19"/>
  <c r="Y24" i="19"/>
  <c r="AG24" i="19"/>
  <c r="AJ24" i="19"/>
  <c r="X24" i="19"/>
  <c r="AF24" i="19"/>
  <c r="AB24" i="19"/>
  <c r="AN24" i="19"/>
  <c r="AF28" i="20" l="1"/>
  <c r="AF29" i="20"/>
  <c r="AB28" i="20"/>
  <c r="AB29" i="20"/>
  <c r="X29" i="20"/>
  <c r="X28" i="20"/>
  <c r="AN29" i="20"/>
  <c r="AN28" i="20"/>
  <c r="AJ28" i="20"/>
  <c r="AJ29" i="20"/>
  <c r="AU24" i="19"/>
  <c r="AO25" i="19"/>
  <c r="AC25" i="19"/>
  <c r="AU21" i="19"/>
  <c r="AK25" i="19"/>
  <c r="AU23" i="19"/>
  <c r="Y25" i="19"/>
  <c r="AU20" i="19"/>
  <c r="AG25" i="19"/>
  <c r="AU22" i="19"/>
  <c r="AJ26" i="19"/>
  <c r="AV23" i="19"/>
  <c r="AT23" i="19"/>
  <c r="AR23" i="19"/>
  <c r="AJ25" i="19"/>
  <c r="X25" i="19"/>
  <c r="AT20" i="19"/>
  <c r="AV20" i="19"/>
  <c r="X26" i="19" a="1"/>
  <c r="AR20" i="19"/>
  <c r="AF25" i="19"/>
  <c r="AF26" i="19"/>
  <c r="AV22" i="19"/>
  <c r="AR22" i="19"/>
  <c r="AT22" i="19"/>
  <c r="AB25" i="19"/>
  <c r="AB26" i="19"/>
  <c r="AV21" i="19"/>
  <c r="AT21" i="19"/>
  <c r="AR21" i="19"/>
  <c r="AR24" i="19"/>
  <c r="AS24" i="19" s="1"/>
  <c r="AN26" i="19" a="1"/>
  <c r="AT24" i="19"/>
  <c r="AN25" i="19"/>
  <c r="AV24" i="19"/>
  <c r="AS21" i="19" l="1"/>
  <c r="AS20" i="19"/>
  <c r="AS23" i="19"/>
  <c r="AS22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<sst xmlns="http://schemas.openxmlformats.org/spreadsheetml/2006/main" count="618" uniqueCount="253">
  <si>
    <t>LRL</t>
  </si>
  <si>
    <t>URL</t>
  </si>
  <si>
    <t>AMY</t>
  </si>
  <si>
    <t>Ca</t>
  </si>
  <si>
    <t>LDH</t>
  </si>
  <si>
    <t>TSH</t>
  </si>
  <si>
    <t>FT4</t>
  </si>
  <si>
    <t xml:space="preserve">ALT </t>
  </si>
  <si>
    <t xml:space="preserve">GGT </t>
  </si>
  <si>
    <t>RBC</t>
  </si>
  <si>
    <t xml:space="preserve">Hb </t>
  </si>
  <si>
    <t>WBC</t>
  </si>
  <si>
    <t>LYM</t>
  </si>
  <si>
    <t>PLT</t>
  </si>
  <si>
    <t>Slope</t>
  </si>
  <si>
    <t>Intercept</t>
  </si>
  <si>
    <t>Link</t>
  </si>
  <si>
    <t>Nominal coverage probability (or confidence level)</t>
  </si>
  <si>
    <t>Significance level (α)</t>
  </si>
  <si>
    <r>
      <t>CV</t>
    </r>
    <r>
      <rPr>
        <b/>
        <vertAlign val="subscript"/>
        <sz val="11"/>
        <color theme="1"/>
        <rFont val="Arial"/>
        <family val="2"/>
      </rPr>
      <t>E</t>
    </r>
  </si>
  <si>
    <r>
      <t>pCV</t>
    </r>
    <r>
      <rPr>
        <vertAlign val="subscript"/>
        <sz val="11"/>
        <color theme="1"/>
        <rFont val="Arial"/>
        <family val="2"/>
      </rPr>
      <t>A</t>
    </r>
  </si>
  <si>
    <r>
      <t>pSD</t>
    </r>
    <r>
      <rPr>
        <b/>
        <vertAlign val="subscript"/>
        <sz val="11"/>
        <color theme="1"/>
        <rFont val="Arial"/>
        <family val="2"/>
      </rPr>
      <t>A,Med</t>
    </r>
  </si>
  <si>
    <r>
      <t>pD</t>
    </r>
    <r>
      <rPr>
        <b/>
        <vertAlign val="subscript"/>
        <sz val="11"/>
        <color theme="1"/>
        <rFont val="Arial"/>
        <family val="2"/>
      </rPr>
      <t>URL</t>
    </r>
  </si>
  <si>
    <r>
      <t>pD</t>
    </r>
    <r>
      <rPr>
        <b/>
        <vertAlign val="subscript"/>
        <sz val="11"/>
        <color theme="1"/>
        <rFont val="Arial"/>
        <family val="2"/>
      </rPr>
      <t>LRL</t>
    </r>
  </si>
  <si>
    <r>
      <t>pSD</t>
    </r>
    <r>
      <rPr>
        <b/>
        <vertAlign val="subscript"/>
        <sz val="11"/>
        <color theme="1"/>
        <rFont val="Arial"/>
        <family val="2"/>
      </rPr>
      <t>A,LRL</t>
    </r>
  </si>
  <si>
    <r>
      <t>pSD</t>
    </r>
    <r>
      <rPr>
        <b/>
        <vertAlign val="subscript"/>
        <sz val="11"/>
        <color theme="1"/>
        <rFont val="Arial"/>
        <family val="2"/>
      </rPr>
      <t>A,URL</t>
    </r>
  </si>
  <si>
    <r>
      <t>EI</t>
    </r>
    <r>
      <rPr>
        <b/>
        <vertAlign val="subscript"/>
        <sz val="11"/>
        <color theme="1"/>
        <rFont val="Arial"/>
        <family val="2"/>
      </rPr>
      <t>LRL</t>
    </r>
  </si>
  <si>
    <t>Test</t>
  </si>
  <si>
    <t>TML</t>
  </si>
  <si>
    <t>1 = yes / 0 = no</t>
  </si>
  <si>
    <r>
      <t>TML LRL within EI</t>
    </r>
    <r>
      <rPr>
        <vertAlign val="subscript"/>
        <sz val="11"/>
        <color theme="1"/>
        <rFont val="Arial"/>
        <family val="2"/>
      </rPr>
      <t>LRL</t>
    </r>
  </si>
  <si>
    <t>TMC</t>
  </si>
  <si>
    <t>refineR</t>
  </si>
  <si>
    <t>LabRI</t>
  </si>
  <si>
    <r>
      <t>refineR LRL within EI</t>
    </r>
    <r>
      <rPr>
        <vertAlign val="subscript"/>
        <sz val="11"/>
        <color theme="1"/>
        <rFont val="Arial"/>
        <family val="2"/>
      </rPr>
      <t>LRL</t>
    </r>
  </si>
  <si>
    <r>
      <t>LabRI LRL within EI</t>
    </r>
    <r>
      <rPr>
        <vertAlign val="subscript"/>
        <sz val="11"/>
        <color theme="1"/>
        <rFont val="Arial"/>
        <family val="2"/>
      </rPr>
      <t>LRL</t>
    </r>
  </si>
  <si>
    <r>
      <t>refineR URL within EI</t>
    </r>
    <r>
      <rPr>
        <vertAlign val="subscript"/>
        <sz val="11"/>
        <color theme="1"/>
        <rFont val="Arial"/>
        <family val="2"/>
      </rPr>
      <t>URL</t>
    </r>
  </si>
  <si>
    <r>
      <t>LabRI URL within EI</t>
    </r>
    <r>
      <rPr>
        <vertAlign val="subscript"/>
        <sz val="11"/>
        <color theme="1"/>
        <rFont val="Arial"/>
        <family val="2"/>
      </rPr>
      <t>URL</t>
    </r>
  </si>
  <si>
    <r>
      <t>TMC LRL within EI</t>
    </r>
    <r>
      <rPr>
        <b/>
        <vertAlign val="subscript"/>
        <sz val="11"/>
        <color theme="1"/>
        <rFont val="Arial"/>
        <family val="2"/>
      </rPr>
      <t>LRL</t>
    </r>
  </si>
  <si>
    <r>
      <t>TMC URL within EI</t>
    </r>
    <r>
      <rPr>
        <b/>
        <vertAlign val="subscript"/>
        <sz val="11"/>
        <color theme="1"/>
        <rFont val="Arial"/>
        <family val="2"/>
      </rPr>
      <t>URL</t>
    </r>
  </si>
  <si>
    <t>reflimR</t>
  </si>
  <si>
    <r>
      <t>reflimR LRL within EI</t>
    </r>
    <r>
      <rPr>
        <b/>
        <vertAlign val="subscript"/>
        <sz val="11"/>
        <color theme="1"/>
        <rFont val="Arial"/>
        <family val="2"/>
      </rPr>
      <t>LRL</t>
    </r>
  </si>
  <si>
    <r>
      <t>reflimR URL within EI</t>
    </r>
    <r>
      <rPr>
        <b/>
        <vertAlign val="subscript"/>
        <sz val="11"/>
        <color theme="1"/>
        <rFont val="Arial"/>
        <family val="2"/>
      </rPr>
      <t>URL</t>
    </r>
  </si>
  <si>
    <t>Interpretation of the standard normal quantile</t>
  </si>
  <si>
    <t>Decimal places</t>
  </si>
  <si>
    <t>Performance ranking</t>
  </si>
  <si>
    <t>Method</t>
  </si>
  <si>
    <t>Overall % of RLs within the EI</t>
  </si>
  <si>
    <t>Rank</t>
  </si>
  <si>
    <t>LRLs within EI / total</t>
  </si>
  <si>
    <t>URLs within EI / total</t>
  </si>
  <si>
    <t>Total within EI / total possible</t>
  </si>
  <si>
    <t>% TML RLs within EI (overall)</t>
  </si>
  <si>
    <t>n refineR RLs within EI</t>
  </si>
  <si>
    <t>% refineR RLs within EI</t>
  </si>
  <si>
    <t>% refineR RLs within EI (overall)</t>
  </si>
  <si>
    <t>n TMC RLs within EI</t>
  </si>
  <si>
    <t>% TMC RLs within EI</t>
  </si>
  <si>
    <t>% TMC RLs within EI (overall)</t>
  </si>
  <si>
    <t>n reflimR RLs within EI</t>
  </si>
  <si>
    <t>% reflimR RLs within EI</t>
  </si>
  <si>
    <t>% reflimR RLs within EI (overall)</t>
  </si>
  <si>
    <t>n LabRI RLs within EI</t>
  </si>
  <si>
    <t>% LabRI RLs within EI</t>
  </si>
  <si>
    <t>% LabRI RLs within EI (overall)</t>
  </si>
  <si>
    <t>References</t>
  </si>
  <si>
    <t>Tool information and attribution</t>
  </si>
  <si>
    <t>Tool</t>
  </si>
  <si>
    <t>Version</t>
  </si>
  <si>
    <t>Release date</t>
  </si>
  <si>
    <t>Author</t>
  </si>
  <si>
    <t>Alan Carvalho Dias</t>
  </si>
  <si>
    <t>ORCID</t>
  </si>
  <si>
    <t>https://orcid.org/0000-0002-7159-4593</t>
  </si>
  <si>
    <t>Corresponding e-mail</t>
  </si>
  <si>
    <t>alancdias@hotmail.com</t>
  </si>
  <si>
    <t>Website</t>
  </si>
  <si>
    <t>Repository / DOI</t>
  </si>
  <si>
    <t>System requirements</t>
  </si>
  <si>
    <t>Microsoft Excel 365 or Excel 2021 (or later). The worksheet uses dynamic array functions (LET, SORT, SEQUENCE, TEXTJOIN, UNICHAR) that are unavailable in Excel 2016/2019 and may not behave identically in LibreOffice Calc.</t>
  </si>
  <si>
    <t>RL</t>
  </si>
  <si>
    <r>
      <t>EI</t>
    </r>
    <r>
      <rPr>
        <b/>
        <vertAlign val="subscript"/>
        <sz val="11"/>
        <color theme="1"/>
        <rFont val="Arial"/>
        <family val="2"/>
      </rPr>
      <t>URL</t>
    </r>
  </si>
  <si>
    <r>
      <rPr>
        <b/>
        <sz val="11"/>
        <color theme="1"/>
        <rFont val="Arial"/>
        <family val="2"/>
      </rPr>
      <t>reflimR:</t>
    </r>
    <r>
      <rPr>
        <sz val="11"/>
        <color theme="1"/>
        <rFont val="Arial"/>
        <family val="2"/>
      </rPr>
      <t xml:space="preserve"> R package for the indirect estimation of reference intervals from routine laboratory data.</t>
    </r>
  </si>
  <si>
    <r>
      <rPr>
        <b/>
        <sz val="11"/>
        <color theme="1"/>
        <rFont val="Arial"/>
        <family val="2"/>
      </rPr>
      <t>refineR:</t>
    </r>
    <r>
      <rPr>
        <sz val="11"/>
        <color theme="1"/>
        <rFont val="Arial"/>
        <family val="2"/>
      </rPr>
      <t xml:space="preserve"> R package for the indirect estimation of reference intervals from routine laboratory data.</t>
    </r>
  </si>
  <si>
    <r>
      <rPr>
        <b/>
        <sz val="11"/>
        <color theme="1"/>
        <rFont val="Arial"/>
        <family val="2"/>
      </rPr>
      <t>LabRI:</t>
    </r>
    <r>
      <rPr>
        <sz val="11"/>
        <color theme="1"/>
        <rFont val="Arial"/>
        <family val="2"/>
      </rPr>
      <t xml:space="preserve"> Laboratory Reference Interval, an indirect approach for estimating reference limits from routine laboratory data.</t>
    </r>
  </si>
  <si>
    <r>
      <rPr>
        <b/>
        <sz val="11"/>
        <color theme="1"/>
        <rFont val="Arial"/>
        <family val="2"/>
      </rPr>
      <t>TMC:</t>
    </r>
    <r>
      <rPr>
        <sz val="11"/>
        <color theme="1"/>
        <rFont val="Arial"/>
        <family val="2"/>
      </rPr>
      <t xml:space="preserve"> truncated minimum chi-square, an indirect approach for estimating reference limits from routine laboratory data.</t>
    </r>
  </si>
  <si>
    <r>
      <rPr>
        <b/>
        <sz val="11"/>
        <color theme="1"/>
        <rFont val="Arial"/>
        <family val="2"/>
      </rPr>
      <t xml:space="preserve">TML: </t>
    </r>
    <r>
      <rPr>
        <sz val="11"/>
        <color theme="1"/>
        <rFont val="Arial"/>
        <family val="2"/>
      </rPr>
      <t>truncated maximum likelihood, an indirect approach for estimating reference limits from routine laboratory data.</t>
    </r>
  </si>
  <si>
    <r>
      <rPr>
        <b/>
        <sz val="11"/>
        <color theme="1"/>
        <rFont val="Arial"/>
        <family val="2"/>
      </rPr>
      <t xml:space="preserve">APS: </t>
    </r>
    <r>
      <rPr>
        <sz val="11"/>
        <color theme="1"/>
        <rFont val="Arial"/>
        <family val="2"/>
      </rPr>
      <t>analytical performance specification.</t>
    </r>
  </si>
  <si>
    <r>
      <rPr>
        <b/>
        <sz val="11"/>
        <color theme="1"/>
        <rFont val="Arial"/>
        <family val="2"/>
      </rPr>
      <t xml:space="preserve">RL: </t>
    </r>
    <r>
      <rPr>
        <sz val="11"/>
        <color theme="1"/>
        <rFont val="Arial"/>
        <family val="2"/>
      </rPr>
      <t>reference limit, either the lower (LRL) or the upper (URL) reference limit.</t>
    </r>
  </si>
  <si>
    <r>
      <rPr>
        <b/>
        <sz val="11"/>
        <color theme="1"/>
        <rFont val="Arial"/>
        <family val="2"/>
      </rPr>
      <t xml:space="preserve">EI: </t>
    </r>
    <r>
      <rPr>
        <sz val="11"/>
        <color theme="1"/>
        <rFont val="Arial"/>
        <family val="2"/>
      </rPr>
      <t>equivalence interval, the range around a reference limit within which an estimate of that same limit obtained by another approach is considered equivalent.</t>
    </r>
  </si>
  <si>
    <r>
      <rPr>
        <b/>
        <sz val="11"/>
        <color theme="1"/>
        <rFont val="Arial"/>
        <family val="2"/>
      </rPr>
      <t>EI</t>
    </r>
    <r>
      <rPr>
        <b/>
        <vertAlign val="subscript"/>
        <sz val="11"/>
        <color theme="1"/>
        <rFont val="Arial"/>
        <family val="2"/>
      </rPr>
      <t>LRL</t>
    </r>
    <r>
      <rPr>
        <b/>
        <sz val="11"/>
        <color theme="1"/>
        <rFont val="Arial"/>
        <family val="2"/>
      </rPr>
      <t xml:space="preserve">: </t>
    </r>
    <r>
      <rPr>
        <sz val="11"/>
        <color theme="1"/>
        <rFont val="Arial"/>
        <family val="2"/>
      </rPr>
      <t>equivalence interval of the lower reference limit (LRL ± pD</t>
    </r>
    <r>
      <rPr>
        <vertAlign val="subscript"/>
        <sz val="11"/>
        <color theme="1"/>
        <rFont val="Arial"/>
        <family val="2"/>
      </rPr>
      <t>LRL</t>
    </r>
    <r>
      <rPr>
        <sz val="11"/>
        <color theme="1"/>
        <rFont val="Arial"/>
        <family val="2"/>
      </rPr>
      <t>).</t>
    </r>
  </si>
  <si>
    <r>
      <rPr>
        <b/>
        <sz val="11"/>
        <color theme="1"/>
        <rFont val="Arial"/>
        <family val="2"/>
      </rPr>
      <t>EI</t>
    </r>
    <r>
      <rPr>
        <b/>
        <vertAlign val="subscript"/>
        <sz val="11"/>
        <color theme="1"/>
        <rFont val="Arial"/>
        <family val="2"/>
      </rPr>
      <t>URL</t>
    </r>
    <r>
      <rPr>
        <b/>
        <sz val="11"/>
        <color theme="1"/>
        <rFont val="Arial"/>
        <family val="2"/>
      </rPr>
      <t xml:space="preserve">: </t>
    </r>
    <r>
      <rPr>
        <sz val="11"/>
        <color theme="1"/>
        <rFont val="Arial"/>
        <family val="2"/>
      </rPr>
      <t>equivalence interval of the upper reference limit (URL ± pD</t>
    </r>
    <r>
      <rPr>
        <vertAlign val="subscript"/>
        <sz val="11"/>
        <color theme="1"/>
        <rFont val="Arial"/>
        <family val="2"/>
      </rPr>
      <t>URL</t>
    </r>
    <r>
      <rPr>
        <sz val="11"/>
        <color theme="1"/>
        <rFont val="Arial"/>
        <family val="2"/>
      </rPr>
      <t>).</t>
    </r>
  </si>
  <si>
    <r>
      <rPr>
        <b/>
        <sz val="11"/>
        <color theme="1"/>
        <rFont val="Arial"/>
        <family val="2"/>
      </rPr>
      <t>pD</t>
    </r>
    <r>
      <rPr>
        <b/>
        <vertAlign val="subscript"/>
        <sz val="11"/>
        <color theme="1"/>
        <rFont val="Arial"/>
        <family val="2"/>
      </rPr>
      <t>URL</t>
    </r>
    <r>
      <rPr>
        <b/>
        <sz val="11"/>
        <color theme="1"/>
        <rFont val="Arial"/>
        <family val="2"/>
      </rPr>
      <t xml:space="preserve">: </t>
    </r>
    <r>
      <rPr>
        <sz val="11"/>
        <color theme="1"/>
        <rFont val="Arial"/>
        <family val="2"/>
      </rPr>
      <t>permissible difference (pD) for the URL, based on Haeckel's approach, which estimates the CVE from the reference interval provided by the user.</t>
    </r>
  </si>
  <si>
    <r>
      <rPr>
        <b/>
        <sz val="11"/>
        <color theme="1"/>
        <rFont val="Arial"/>
        <family val="2"/>
      </rPr>
      <t>pD</t>
    </r>
    <r>
      <rPr>
        <b/>
        <vertAlign val="subscript"/>
        <sz val="11"/>
        <color theme="1"/>
        <rFont val="Arial"/>
        <family val="2"/>
      </rPr>
      <t>LRL</t>
    </r>
    <r>
      <rPr>
        <b/>
        <sz val="11"/>
        <color theme="1"/>
        <rFont val="Arial"/>
        <family val="2"/>
      </rPr>
      <t>:</t>
    </r>
    <r>
      <rPr>
        <sz val="11"/>
        <color theme="1"/>
        <rFont val="Arial"/>
        <family val="2"/>
      </rPr>
      <t xml:space="preserve"> permissible difference (pD) for the LRL, based on Haeckel's approach, which estimates the CVE from the reference interval provided by the user.</t>
    </r>
  </si>
  <si>
    <r>
      <rPr>
        <b/>
        <sz val="11"/>
        <color theme="1"/>
        <rFont val="Arial"/>
        <family val="2"/>
      </rPr>
      <t>pSD</t>
    </r>
    <r>
      <rPr>
        <b/>
        <vertAlign val="subscript"/>
        <sz val="11"/>
        <color theme="1"/>
        <rFont val="Arial"/>
        <family val="2"/>
      </rPr>
      <t>A,URL</t>
    </r>
    <r>
      <rPr>
        <b/>
        <sz val="11"/>
        <color theme="1"/>
        <rFont val="Arial"/>
        <family val="2"/>
      </rPr>
      <t xml:space="preserve">: </t>
    </r>
    <r>
      <rPr>
        <sz val="11"/>
        <color theme="1"/>
        <rFont val="Arial"/>
        <family val="2"/>
      </rPr>
      <t>permissible analytical standard deviation at the upper reference limit.</t>
    </r>
  </si>
  <si>
    <r>
      <rPr>
        <b/>
        <sz val="11"/>
        <color theme="1"/>
        <rFont val="Arial"/>
        <family val="2"/>
      </rPr>
      <t>pSD</t>
    </r>
    <r>
      <rPr>
        <b/>
        <vertAlign val="subscript"/>
        <sz val="11"/>
        <color theme="1"/>
        <rFont val="Arial"/>
        <family val="2"/>
      </rPr>
      <t>A,LRL</t>
    </r>
    <r>
      <rPr>
        <b/>
        <sz val="11"/>
        <color theme="1"/>
        <rFont val="Arial"/>
        <family val="2"/>
      </rPr>
      <t>:</t>
    </r>
    <r>
      <rPr>
        <sz val="11"/>
        <color theme="1"/>
        <rFont val="Arial"/>
        <family val="2"/>
      </rPr>
      <t xml:space="preserve"> permissible analytical standard deviation at the lower reference limit.</t>
    </r>
  </si>
  <si>
    <r>
      <rPr>
        <b/>
        <sz val="11"/>
        <color theme="1"/>
        <rFont val="Arial"/>
        <family val="2"/>
      </rPr>
      <t>Intercept:</t>
    </r>
    <r>
      <rPr>
        <sz val="11"/>
        <color theme="1"/>
        <rFont val="Arial"/>
        <family val="2"/>
      </rPr>
      <t xml:space="preserve"> related to the limit of detection. Because the limit of detection is usually unknown for the human material matrix, 20% of pSDA,Med is applied empirically here as a surrogate.</t>
    </r>
  </si>
  <si>
    <r>
      <rPr>
        <b/>
        <sz val="11"/>
        <color theme="1"/>
        <rFont val="Arial"/>
        <family val="2"/>
      </rPr>
      <t xml:space="preserve">Slope: </t>
    </r>
    <r>
      <rPr>
        <sz val="11"/>
        <color theme="1"/>
        <rFont val="Arial"/>
        <family val="2"/>
      </rPr>
      <t>calculated from pSDA,Med and the median of the reference interval.</t>
    </r>
  </si>
  <si>
    <r>
      <rPr>
        <b/>
        <sz val="11"/>
        <color theme="1"/>
        <rFont val="Arial"/>
        <family val="2"/>
      </rPr>
      <t>pSD</t>
    </r>
    <r>
      <rPr>
        <b/>
        <vertAlign val="subscript"/>
        <sz val="11"/>
        <color theme="1"/>
        <rFont val="Arial"/>
        <family val="2"/>
      </rPr>
      <t>A,Med</t>
    </r>
    <r>
      <rPr>
        <b/>
        <sz val="11"/>
        <color theme="1"/>
        <rFont val="Arial"/>
        <family val="2"/>
      </rPr>
      <t xml:space="preserve">: </t>
    </r>
    <r>
      <rPr>
        <sz val="11"/>
        <color theme="1"/>
        <rFont val="Arial"/>
        <family val="2"/>
      </rPr>
      <t>permissible analytical standard deviation (SDA) at the median of the reference interval.</t>
    </r>
  </si>
  <si>
    <r>
      <rPr>
        <b/>
        <sz val="11"/>
        <color theme="1"/>
        <rFont val="Arial"/>
        <family val="2"/>
      </rPr>
      <t>Med</t>
    </r>
    <r>
      <rPr>
        <b/>
        <vertAlign val="subscript"/>
        <sz val="11"/>
        <color theme="1"/>
        <rFont val="Arial"/>
        <family val="2"/>
      </rPr>
      <t>ln</t>
    </r>
    <r>
      <rPr>
        <b/>
        <sz val="11"/>
        <color theme="1"/>
        <rFont val="Arial"/>
        <family val="2"/>
      </rPr>
      <t xml:space="preserve">: </t>
    </r>
    <r>
      <rPr>
        <sz val="11"/>
        <color theme="1"/>
        <rFont val="Arial"/>
        <family val="2"/>
      </rPr>
      <t>median of the reference interval on the logarithmic scale.</t>
    </r>
  </si>
  <si>
    <r>
      <rPr>
        <b/>
        <sz val="11"/>
        <color theme="1"/>
        <rFont val="Arial"/>
        <family val="2"/>
      </rPr>
      <t xml:space="preserve">LRL: </t>
    </r>
    <r>
      <rPr>
        <sz val="11"/>
        <color theme="1"/>
        <rFont val="Arial"/>
        <family val="2"/>
      </rPr>
      <t>lower reference limit.</t>
    </r>
  </si>
  <si>
    <r>
      <rPr>
        <b/>
        <sz val="11"/>
        <color theme="1"/>
        <rFont val="Arial"/>
        <family val="2"/>
      </rPr>
      <t>URL:</t>
    </r>
    <r>
      <rPr>
        <sz val="11"/>
        <color theme="1"/>
        <rFont val="Arial"/>
        <family val="2"/>
      </rPr>
      <t xml:space="preserve"> upper reference limit.</t>
    </r>
  </si>
  <si>
    <r>
      <rPr>
        <b/>
        <sz val="11"/>
        <color theme="1"/>
        <rFont val="Arial"/>
        <family val="2"/>
      </rPr>
      <t>CV</t>
    </r>
    <r>
      <rPr>
        <b/>
        <vertAlign val="subscript"/>
        <sz val="11"/>
        <color theme="1"/>
        <rFont val="Arial"/>
        <family val="2"/>
      </rPr>
      <t>E</t>
    </r>
    <r>
      <rPr>
        <b/>
        <sz val="11"/>
        <color theme="1"/>
        <rFont val="Arial"/>
        <family val="2"/>
      </rPr>
      <t xml:space="preserve">: </t>
    </r>
    <r>
      <rPr>
        <sz val="11"/>
        <color theme="1"/>
        <rFont val="Arial"/>
        <family val="2"/>
      </rPr>
      <t>empirical biological variation coefficient derived on the logarithmic scale from the reference interval. If the LRL is unknown, it is set at 15% of the URL for the CVE calculation.</t>
    </r>
  </si>
  <si>
    <r>
      <rPr>
        <b/>
        <sz val="11"/>
        <color theme="1"/>
        <rFont val="Arial"/>
        <family val="2"/>
      </rPr>
      <t>pCV</t>
    </r>
    <r>
      <rPr>
        <b/>
        <vertAlign val="subscript"/>
        <sz val="11"/>
        <color theme="1"/>
        <rFont val="Arial"/>
        <family val="2"/>
      </rPr>
      <t>A</t>
    </r>
    <r>
      <rPr>
        <b/>
        <sz val="11"/>
        <color theme="1"/>
        <rFont val="Arial"/>
        <family val="2"/>
      </rPr>
      <t xml:space="preserve">: </t>
    </r>
    <r>
      <rPr>
        <sz val="11"/>
        <color theme="1"/>
        <rFont val="Arial"/>
        <family val="2"/>
      </rPr>
      <t>the permissible analytical coefficient of variation (CVA) at the median on the linear scale, obtained from the CVE.</t>
    </r>
  </si>
  <si>
    <t>Abbreviations:</t>
  </si>
  <si>
    <t>Group</t>
  </si>
  <si>
    <t>Testcase1</t>
  </si>
  <si>
    <t>Testcase2</t>
  </si>
  <si>
    <t>Testcase4</t>
  </si>
  <si>
    <t>n</t>
  </si>
  <si>
    <t>Group 1</t>
  </si>
  <si>
    <t>Group 2</t>
  </si>
  <si>
    <t>Legend</t>
  </si>
  <si>
    <t>Idx</t>
  </si>
  <si>
    <t>N limits</t>
  </si>
  <si>
    <t>P90(|d|)</t>
  </si>
  <si>
    <t>n(|d|&gt;2)</t>
  </si>
  <si>
    <t>mean(|d|)</t>
  </si>
  <si>
    <t xml:space="preserve">d1 </t>
  </si>
  <si>
    <t>Conformity</t>
  </si>
  <si>
    <t>d2</t>
  </si>
  <si>
    <t>Proximity</t>
  </si>
  <si>
    <t xml:space="preserve">d3 </t>
  </si>
  <si>
    <t>Tail behaviour</t>
  </si>
  <si>
    <t xml:space="preserve">d4 </t>
  </si>
  <si>
    <t>Severity</t>
  </si>
  <si>
    <t>Group 1: real-world datasets</t>
  </si>
  <si>
    <t>Group 2: simulated test cases</t>
  </si>
  <si>
    <t xml:space="preserve">Global </t>
  </si>
  <si>
    <t>method</t>
  </si>
  <si>
    <t xml:space="preserve">Group 2 </t>
  </si>
  <si>
    <t>Global: all reference limits (Group 1 + Group 2)</t>
  </si>
  <si>
    <t>Ordered ranking</t>
  </si>
  <si>
    <t>Heatmap: deviation of each method in pD units (|value| ≤ 1 = within the equivalence interval)</t>
  </si>
  <si>
    <t>PRIDE-RL score</t>
  </si>
  <si>
    <t>Comparative Reference</t>
  </si>
  <si>
    <t>Ord (tie-break)</t>
  </si>
  <si>
    <t>Pos.</t>
  </si>
  <si>
    <t>n(|D_RL| ≤ 1) / N</t>
  </si>
  <si>
    <t>Performance Ranking by Index of Deviation of Reference Limits (PRIDE-RL)</t>
  </si>
  <si>
    <t>Performance Ranking by Index of Deviation of Reference Limits (PRIDe-RL)</t>
  </si>
  <si>
    <r>
      <t>n(|D</t>
    </r>
    <r>
      <rPr>
        <b/>
        <vertAlign val="subscript"/>
        <sz val="10"/>
        <color rgb="FFFFFFFF"/>
        <rFont val="Arial"/>
        <family val="2"/>
      </rPr>
      <t>RL</t>
    </r>
    <r>
      <rPr>
        <b/>
        <sz val="10"/>
        <color rgb="FFFFFFFF"/>
        <rFont val="Arial"/>
        <family val="2"/>
      </rPr>
      <t>| ≤ 1) / N</t>
    </r>
  </si>
  <si>
    <r>
      <t>n(|D</t>
    </r>
    <r>
      <rPr>
        <b/>
        <vertAlign val="subscript"/>
        <sz val="10"/>
        <color rgb="FFFFFFFF"/>
        <rFont val="Arial"/>
        <family val="2"/>
      </rPr>
      <t>RL</t>
    </r>
    <r>
      <rPr>
        <b/>
        <sz val="10"/>
        <color rgb="FFFFFFFF"/>
        <rFont val="Arial"/>
        <family val="2"/>
      </rPr>
      <t>|&gt;2)</t>
    </r>
  </si>
  <si>
    <t>Analyte/Test</t>
  </si>
  <si>
    <t>Unit</t>
  </si>
  <si>
    <t>U/L</t>
  </si>
  <si>
    <t>mmol/L</t>
  </si>
  <si>
    <t>IU/L</t>
  </si>
  <si>
    <t>mIU/L</t>
  </si>
  <si>
    <t>pmol/L</t>
  </si>
  <si>
    <t>g/dL</t>
  </si>
  <si>
    <t>n/a</t>
  </si>
  <si>
    <t>10^3/μL</t>
  </si>
  <si>
    <t>The PRIDE-RL heatmap enables a visual gestalt of method performance: the overall colour of each column indicates the better-performing method before any numerical inspection.</t>
  </si>
  <si>
    <t>A multidimensional framework for comparative evaluation and ranking of reference-limit estimation methods</t>
  </si>
  <si>
    <t>PRIDE-RL score and Ordered ranking</t>
  </si>
  <si>
    <t>4 - R. Haeckel, W. Wosniok, T. Streichert, Review of potentials and limitations of indirect approaches for estimating reference limits/intervals of quantitative procedures in laboratory medicine, Journal of Laboratory Medicine 45 (2021) 35–53. https://doi.org/10.1515/labmed-2020-0131.</t>
  </si>
  <si>
    <t>6 - R. Haeckel, W. Wosniok, F. Arzideh, Equivalence limits of reference intervals for partitioning of population data. Relevant differences of reference limits, LaboratoriumsMedizin 40 (2016) 199–205. https://doi.org/10.1515/labmed-2016-0002.</t>
  </si>
  <si>
    <t>5 - E. Gurr, R. Haeckel, M. Orth, T. Streichert, Festlegung der zulässigen Messunsicherheit quantitativer Messgrößen in der Laboratoriumsmedizin, LaboratoriumsMedizin 41 (2017) 53–58. https://doi.org/10.1515/labmed-2016-0079.</t>
  </si>
  <si>
    <t>1 - R. Haeckel, T. Ammer, W. Wosniok, A. Krebs, A. Torge, M. Özcürümez, A. Bertram, Age-and sex-specific reference intervals of total cholesterol, LDL cholesterol, HDL cholesterol and non-HDL cholesterol. Comparison of two algorithms for the indirect estimation of reference intervals, Journal of Laboratory Medicine 47 (2023) 55–62. https://doi.org/10.1515/labmed-2022-0147.</t>
  </si>
  <si>
    <t>2 - R. Haeckel, K. Adeli, G. Jones, K. Sikaris, W. Wosniok, Definitions and major prerequisites of direct and indirect approaches for estimating reference limits, Clinical Chemistry and Laboratory Medicine (CCLM) 61 (2023) 402–406. https://doi.org/10.1515/cclm-2022-1061.</t>
  </si>
  <si>
    <t>7 - R. Haeckel, E. Gurr, T. Keller, Permissible measurement uncertainty in the lower part of measurement intervals, LaboratoriumsMedizin 40 (2016) 271–276. https://doi.org/10.1515/labmed-2016-0006.</t>
  </si>
  <si>
    <t>8 - R. Haeckel, W. Wosniok, E. Gurr, B. Peil, Permissible limits for uncertainty of measurement in laboratory medicine, Clinical Chemistry and Laboratory Medicine (CCLM) 53 (2015). https://doi.org/10.1515/cclm-2014-0874.</t>
  </si>
  <si>
    <t>9 - R. Haeckel, W. Wosniok, T. Streichert, Optimizing the use of the “state-of-the-art” performance criteria, Clinical Chemistry and Laboratory Medicine (CCLM) 53 (2015). https://doi.org/10.1515/cclm-2014-1201.</t>
  </si>
  <si>
    <t>10 - R. Haeckel, W. Wosniok, J. Kratochvila, A. Carobene, A pragmatic proposal for permissible limits in external quality assessment schemes with a compromise between biological variation and the state of the art, Clinical Chemistry and Laboratory Medicine 50 (2012). https://doi.org/10.1515/cclm-2011-0862.</t>
  </si>
  <si>
    <t>Yellow: close to the edge of the equivalence interval</t>
  </si>
  <si>
    <t>Green: estimate practically equal to the reference limit</t>
  </si>
  <si>
    <t>Orangen and Red: |deviation| &gt; 1 pD — OUTSIDE the equivalence interval</t>
  </si>
  <si>
    <t>Med</t>
  </si>
  <si>
    <t>3 - R. Haeckel, W. Wosniok, T. Streichert, Review of potentials and limitations of indirect approaches for estimating reference limits/intervals of quantitative procedures in laboratory medicine, Journal of Laboratory Medicine 45 (2021) 35–53. https://doi.org/10.1515/labmed-2020-0131.</t>
  </si>
  <si>
    <t>4 - E. Gurr, R. Haeckel, M. Orth, T. Streichert, Festlegung der zulässigen Messunsicherheit quantitativer Messgrößen in der Laboratoriumsmedizin, LaboratoriumsMedizin 41 (2017) 53–58. https://doi.org/10.1515/labmed-2016-0079.</t>
  </si>
  <si>
    <t>5 - R. Haeckel, W. Wosniok, F. Arzideh, Equivalence limits of reference intervals for partitioning of population data. Relevant differences of reference limits, LaboratoriumsMedizin 40 (2016) 199–205. https://doi.org/10.1515/labmed-2016-0002.</t>
  </si>
  <si>
    <t>6 - R. Haeckel, E. Gurr, T. Keller, Permissible measurement uncertainty in the lower part of measurement intervals, LaboratoriumsMedizin 40 (2016) 271–276. https://doi.org/10.1515/labmed-2016-0006.</t>
  </si>
  <si>
    <t>7 - R. Haeckel, W. Wosniok, E. Gurr, B. Peil, Permissible limits for uncertainty of measurement in laboratory medicine, Clinical Chemistry and Laboratory Medicine (CCLM) 53 (2015). https://doi.org/10.1515/cclm-2014-0874.</t>
  </si>
  <si>
    <t>8 - R. Haeckel, W. Wosniok, T. Streichert, Optimizing the use of the “state-of-the-art” performance criteria, Clinical Chemistry and Laboratory Medicine (CCLM) 53 (2015). https://doi.org/10.1515/cclm-2014-1201.</t>
  </si>
  <si>
    <t>9 - R. Haeckel, W. Wosniok, J. Kratochvila, A. Carobene, A pragmatic proposal for permissible limits in external quality assessment schemes with a compromise between biological variation and the state of the art, Clinical Chemistry and Laboratory Medicine 50 (2012). https://doi.org/10.1515/cclm-2011-0862.</t>
  </si>
  <si>
    <t>10 - E. Colet, D. Aaronson, Visualization of multivariate data: Human-factors considerations, Behavior Research Methods, Instruments, &amp; Computers 27 (1995) 257–263. https://doi.org/10.3758/BF03204742.</t>
  </si>
  <si>
    <t>11 - S. Engle, S. Whalen, A. Joshi, K.S. Pollard, Unboxing cluster heatmaps, BMC Bioinformatics 18 (2017) 63. https://doi.org/10.1186/s12859-016-1442-6.</t>
  </si>
  <si>
    <t>12 - T. Ammer, A. Schützenmeister, H.-U. Prokosch, J. Zierk, C.M. Rank, M. Rauh, RIbench: A Proposed Benchmark for the Standardized Evaluation of Indirect Methods for Reference Interval Estimation, Clinical Chemistry 68 (2022) 1410–1424. https://doi.org/10.1093/clinchem/hvac142.</t>
  </si>
  <si>
    <t>13 - L.M. Weber, W. Saelens, R. Cannoodt, C. Soneson, A. Hapfelmeier, P.P. Gardner, A.-L. Boulesteix, Y. Saeys, M.D. Robinson, Essential guidelines for computational method benchmarking, Genome Biol 20 (2019) 125. https://doi.org/10.1186/s13059-019-1738-8.</t>
  </si>
  <si>
    <t>14 - J. Smolander, S. Junttila, L.L. Elo, Cell-connectivity-guided trajectory inference from single-cell data, Bioinformatics 39 (2023) btad515. https://doi.org/10.1093/bioinformatics/btad515.</t>
  </si>
  <si>
    <r>
      <t>10^6</t>
    </r>
    <r>
      <rPr>
        <sz val="11"/>
        <rFont val="Arial"/>
        <family val="2"/>
      </rPr>
      <t>/μL</t>
    </r>
  </si>
  <si>
    <r>
      <t>10^3</t>
    </r>
    <r>
      <rPr>
        <sz val="11"/>
        <rFont val="Arial"/>
        <family val="2"/>
      </rPr>
      <t>/μL</t>
    </r>
  </si>
  <si>
    <t>PRIDe-RL scoring framework</t>
  </si>
  <si>
    <t>d1 — Conformity</t>
  </si>
  <si>
    <t>d2 — Proximity</t>
  </si>
  <si>
    <t>d3 — Tail behaviour</t>
  </si>
  <si>
    <t>d4 — Severity</t>
  </si>
  <si>
    <t>13 Feb 2025</t>
  </si>
  <si>
    <t>https://grupolabr.com</t>
  </si>
  <si>
    <t>https://github.com/labrgrupo/Supplementary_Material_CCA_LabRI</t>
  </si>
  <si>
    <t>Readme — how to use the tool and navigate the worksheets</t>
  </si>
  <si>
    <t>1. What this tool does</t>
  </si>
  <si>
    <t>PRIDe-RL (Performance Ranking by Index of Deviation of Reference Limits) compares indirect methods for estimating reference limits — TML, refineR, TMC, reflimR and LabRI — against a comparative reference interval. For each analyte, every estimated lower (LRL) and upper (URL) reference limit is expressed as a deviation in units of the permissible difference (pD). These deviations are combined into four performance dimensions and a single PRIDe-RL score (0 to 1, higher is better), which is used to rank the methods.</t>
  </si>
  <si>
    <t>2. Quick start — step by step</t>
  </si>
  <si>
    <t>Step 1 — Open 'Input Group 1' (real-world datasets) and/or 'Input Group 2' (simulated test cases). Both worksheets have the same structure.</t>
  </si>
  <si>
    <t>Step 2 — In cell G5, select the nominal coverage probability (0.90 or 0.80) from the drop-down list. The significance level (α), the quantile order and the standard normal critical value z (G6:G8) update automatically.</t>
  </si>
  <si>
    <t>Step 3 — From row 12 onwards, enter one analyte (or test case) per row: Test (B), Unit (C), sample size n (D), number of decimal places (E) and the comparative reference limits LRL and URL (F:G).</t>
  </si>
  <si>
    <t>Step 4 — Enter the LRL and URL estimated by each method: TML (V:W), refineR (Z:AA), TMC (AD:AE), reflimR (AH:AI) and LabRI (AL:AM).</t>
  </si>
  <si>
    <t>Step 5 — Columns H:T are calculated automatically (CVE, pCVA, median, pSDA, slope, intercept, pD and equivalence interval EI for each limit). The 1/0 columns next to each method indicate whether the estimate lies within the EI (1 = yes, 0 = no).</t>
  </si>
  <si>
    <t>Step 6 — Review the 'Heatmap' worksheet for a visual overview of the deviations, then the 'PRIDE-RL ranking' worksheet for the final scores and ranks.</t>
  </si>
  <si>
    <t>Tip — Leave unused cells empty (do not type 0). If the LRL is unknown or 0, the tool sets it at 15% of the URL for the CVE calculation. Abbreviations are explained below each input table.</t>
  </si>
  <si>
    <t>3. Colour code</t>
  </si>
  <si>
    <t>Light blue cells</t>
  </si>
  <si>
    <t>User inputs — type or paste your data here.</t>
  </si>
  <si>
    <t>Light yellow cells</t>
  </si>
  <si>
    <t>Calculated automatically — do not overwrite (formulas).</t>
  </si>
  <si>
    <t>Heatmap: green / yellow</t>
  </si>
  <si>
    <t>Deviation within the equivalence interval (|d| ≤ 1 pD); yellow = close to its edge.</t>
  </si>
  <si>
    <t>Heatmap: orange / red</t>
  </si>
  <si>
    <t>Deviation outside the equivalence interval (|d| &gt; 1 pD).</t>
  </si>
  <si>
    <t>4. Worksheet guide — what each tab does (click a tab name to open it)</t>
  </si>
  <si>
    <t>Worksheet</t>
  </si>
  <si>
    <t>What it does</t>
  </si>
  <si>
    <t>What you do there</t>
  </si>
  <si>
    <t>Readme</t>
  </si>
  <si>
    <t>This guide: purpose of the tool, step-by-step instructions, colour code, worksheet guide and interpretation of the results.</t>
  </si>
  <si>
    <t>Read first.</t>
  </si>
  <si>
    <t>Input Group 1</t>
  </si>
  <si>
    <t>Data entry and calculations for real-world datasets (12 analytes: AMY, Ca, LDH, TSH, FT4, ALT, GGT, RBC, Hb, WBC, LYM, PLT; rows 12–23). Derives CVE, pCVA, pSDA and the permissible difference (pD) for each reference limit, builds the equivalence interval (EI = RL ± pD), flags whether each method's estimate falls within the EI, and shows a preliminary ranking by % of limits within the EI (columns AQ:AV).</t>
  </si>
  <si>
    <t>Choose the coverage probability (G5) and enter/edit the light blue input cells: analyte data, comparative reference limits and each method's estimates.</t>
  </si>
  <si>
    <t>Input Group 2</t>
  </si>
  <si>
    <t>Same structure and calculations as Input Group 1, applied to simulated test cases (15 rows: test cases evaluated at different sample sizes; rows 12–26).</t>
  </si>
  <si>
    <t>Same as Input Group 1.</t>
  </si>
  <si>
    <t>Heatmap</t>
  </si>
  <si>
    <t>Deviation of every method for every reference limit in pD units: d = (estimate − comparative RL) / pD. One row per limit (LRL and URL); rows 6–29 = Group 1, rows 30–59 = Group 2. Colours give a visual gestalt of method performance (|d| ≤ 1 = within the EI). Includes a legend at the bottom.</t>
  </si>
  <si>
    <t>Read only — fed automatically by the input worksheets.</t>
  </si>
  <si>
    <t>PRIDE-RL ranking</t>
  </si>
  <si>
    <t>Calculates the four performance dimensions (d1 Conformity, d2 Proximity, d3 Tail behaviour, d4 Severity), the PRIDe-RL score and the rank of each method for Group 1 (rows 5–12), Group 2 (rows 14–21) and globally, Group 1 + Group 2 (rows 23–30). 'Ord (tie-break)' gives a unique order when scores tie.</t>
  </si>
  <si>
    <t>Read only — check the Rank column (1 = best) and the PRIDE-RL score.</t>
  </si>
  <si>
    <t>Illustrated explanation (figures) of the scoring framework and of each of the four dimensions d1–d4.</t>
  </si>
  <si>
    <t>Read to understand how the score is built.</t>
  </si>
  <si>
    <t>Bibliography supporting the method (with links) and tool information: version, release date, author, ORCID, contact, repository/DOI and system requirements.</t>
  </si>
  <si>
    <t>Consult and cite.</t>
  </si>
  <si>
    <t>5. How the PRIDe-RL score is calculated</t>
  </si>
  <si>
    <t>Deviation of each limit: d = (method estimate − comparative RL) / pD, where pD = z × pSDA at that limit (z depends on the coverage probability chosen in G5).</t>
  </si>
  <si>
    <t>d1 — Conformity = proportion of reference limits with |d| ≤ 1 (estimate within the equivalence interval).</t>
  </si>
  <si>
    <t>d2 — Proximity = 1 / (1 + mean |d|): rewards estimates that are close to the comparative limit.</t>
  </si>
  <si>
    <t>d3 — Tail behaviour = 1 / (1 + max(0, P90(|d|) − 1)): penalises methods whose 10% largest deviations exceed the EI.</t>
  </si>
  <si>
    <t>d4 — Severity = 1 / (1 + 5 × n(|d| &gt; 2) / N): penalises severe deviations (more than twice the permissible difference).</t>
  </si>
  <si>
    <t>6. Interpreting the results</t>
  </si>
  <si>
    <t>|d| ≤ 1: estimate equivalent to the comparative reference limit.   1 &lt; |d| ≤ 2: outside the EI (moderate deviation).   |d| &gt; 2: severe deviation.</t>
  </si>
  <si>
    <t>Rank 1 is the best-performing method. Compare the Group 1, Group 2 and Global tables to check whether the ranking is consistent between real-world and simulated data.</t>
  </si>
  <si>
    <t>Use the Heatmap to identify which analytes or limits (LRL vs URL) drive a method's lower score.</t>
  </si>
  <si>
    <t>7. Navigation tips and requirements</t>
  </si>
  <si>
    <t>Navigate with the hyperlinks in Section 4, by clicking the tabs at the bottom of the window, or with Ctrl + Page Down / Ctrl + Page Up.</t>
  </si>
  <si>
    <t>Ranges are fixed: Group 1 uses rows 12–23 and Group 2 uses rows 12–26 of the input worksheets. If you add analytes beyond these rows, the Heatmap and PRIDE-RL ranking ranges must be extended accordingly.</t>
  </si>
  <si>
    <t>Requirements: Microsoft Excel 365 or Excel 2021 (or later). The workbook uses dynamic array functions (LET, SORT, SEQUENCE, TEXTJOIN, UNICHAR) that are not available in Excel 2016/2019 and may not behave identically in LibreOffice Calc.</t>
  </si>
  <si>
    <t>1.0.0</t>
  </si>
  <si>
    <t>n TML LRL within EI</t>
  </si>
  <si>
    <t>% TML LRL within EI</t>
  </si>
  <si>
    <r>
      <t>TML URL within EI</t>
    </r>
    <r>
      <rPr>
        <b/>
        <vertAlign val="subscript"/>
        <sz val="11"/>
        <color theme="1"/>
        <rFont val="Arial"/>
        <family val="2"/>
      </rPr>
      <t>URL</t>
    </r>
  </si>
  <si>
    <t>PRIDe-RL score = (n_conf + (d2 × d3 × d4)^(1/3)) / (N + 1), where n_conf is the number of limits with |d| ≤ 1 and N the number of limits evaluated. Conformity is decisive: because n_conf is an integer and the geometric mean of d2–d4 lies between 0 and 1, the other dimensions can never outweigh one additional conforming limit — they only break ties between methods with the same number of conforming limits. The score ranges from 0 to 1 (1 = all limits conforming and d2 = d3 = d4 = 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</si>
</sst>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%"/>
    <numFmt numFmtId="166" formatCode="0.0000"/>
    <numFmt numFmtId="167" formatCode="0.0%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b/>
      <u/>
      <sz val="11"/>
      <color rgb="FF0000D6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1"/>
      <color rgb="FF0066FF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b/>
      <sz val="10"/>
      <color rgb="FF1F3B4D"/>
      <name val="Arial"/>
      <family val="2"/>
    </font>
    <font>
      <b/>
      <sz val="18"/>
      <color theme="0"/>
      <name val="Arial"/>
      <family val="2"/>
    </font>
    <font>
      <sz val="10"/>
      <color rgb="FF1F3B4D"/>
      <name val="Arial"/>
      <family val="2"/>
    </font>
    <font>
      <b/>
      <sz val="12"/>
      <color theme="1"/>
      <name val="Arial"/>
      <family val="2"/>
    </font>
    <font>
      <b/>
      <sz val="11"/>
      <color rgb="FFFFFFFF"/>
      <name val="Arial"/>
      <family val="2"/>
    </font>
    <font>
      <b/>
      <sz val="16"/>
      <color theme="0"/>
      <name val="Arial"/>
      <family val="2"/>
    </font>
    <font>
      <b/>
      <sz val="16"/>
      <color rgb="FFFFFFFF"/>
      <name val="Arial"/>
    </font>
    <font>
      <sz val="11"/>
      <color rgb="FF000000"/>
      <name val="Arial"/>
      <family val="2"/>
    </font>
    <font>
      <b/>
      <sz val="10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Arial"/>
    </font>
    <font>
      <sz val="11"/>
      <color theme="1"/>
      <name val="Aptos Narrow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vertAlign val="subscript"/>
      <sz val="10"/>
      <color rgb="FFFFFFFF"/>
      <name val="Arial"/>
      <family val="2"/>
    </font>
    <font>
      <b/>
      <sz val="15"/>
      <name val="Arial"/>
      <family val="2"/>
    </font>
    <font>
      <b/>
      <sz val="14"/>
      <color rgb="FF0066FF"/>
      <name val="Aptos Narrow"/>
      <family val="2"/>
      <scheme val="minor"/>
    </font>
    <font>
      <b/>
      <u/>
      <sz val="11"/>
      <color rgb="FF0066FF"/>
      <name val="Aptos Narrow"/>
      <family val="2"/>
      <scheme val="minor"/>
    </font>
    <font>
      <b/>
      <sz val="10"/>
      <color rgb="FF0066FF"/>
      <name val="Arial"/>
      <family val="2"/>
    </font>
    <font>
      <b/>
      <sz val="11"/>
      <color theme="1"/>
      <name val="Arial"/>
    </font>
    <font>
      <sz val="11"/>
      <color theme="1"/>
      <name val="Arial"/>
    </font>
    <font>
      <b/>
      <u/>
      <sz val="11"/>
      <color rgb="FF0563C1"/>
      <name val="Arial"/>
    </font>
    <font>
      <sz val="11"/>
      <color theme="0"/>
      <name val="Arial"/>
      <family val="2"/>
    </font>
    <font>
      <sz val="8"/>
      <color theme="0"/>
      <name val="Arial"/>
      <family val="2"/>
    </font>
  </fonts>
  <fills count="15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D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AF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A8671"/>
        <bgColor indexed="64"/>
      </patternFill>
    </fill>
    <fill>
      <patternFill patternType="solid">
        <fgColor rgb="FF6FC17C"/>
        <bgColor indexed="64"/>
      </patternFill>
    </fill>
    <fill>
      <patternFill patternType="solid">
        <fgColor rgb="FF96CD7E"/>
        <bgColor indexed="64"/>
      </patternFill>
    </fill>
    <fill>
      <patternFill patternType="solid">
        <fgColor rgb="FF9FCF7E"/>
        <bgColor indexed="64"/>
      </patternFill>
    </fill>
    <fill>
      <patternFill patternType="solid">
        <fgColor rgb="FFF4E883"/>
        <bgColor indexed="64"/>
      </patternFill>
    </fill>
    <fill>
      <patternFill patternType="solid">
        <fgColor rgb="FFFBA977"/>
        <bgColor indexed="64"/>
      </patternFill>
    </fill>
    <fill>
      <patternFill patternType="solid">
        <fgColor rgb="FFFDCE7F"/>
        <bgColor indexed="64"/>
      </patternFill>
    </fill>
    <fill>
      <patternFill patternType="solid">
        <fgColor rgb="FF90CB7E"/>
        <bgColor indexed="64"/>
      </patternFill>
    </fill>
    <fill>
      <patternFill patternType="solid">
        <fgColor rgb="FF6EC17C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8FCB7E"/>
        <bgColor indexed="64"/>
      </patternFill>
    </fill>
    <fill>
      <patternFill patternType="solid">
        <fgColor rgb="FF89C97D"/>
        <bgColor indexed="64"/>
      </patternFill>
    </fill>
    <fill>
      <patternFill patternType="solid">
        <fgColor rgb="FFD6DF82"/>
        <bgColor indexed="64"/>
      </patternFill>
    </fill>
    <fill>
      <patternFill patternType="solid">
        <fgColor rgb="FF9CCF7E"/>
        <bgColor indexed="64"/>
      </patternFill>
    </fill>
    <fill>
      <patternFill patternType="solid">
        <fgColor rgb="FFA4D17F"/>
        <bgColor indexed="64"/>
      </patternFill>
    </fill>
    <fill>
      <patternFill patternType="solid">
        <fgColor rgb="FF83C77D"/>
        <bgColor indexed="64"/>
      </patternFill>
    </fill>
    <fill>
      <patternFill patternType="solid">
        <fgColor rgb="FF73C37C"/>
        <bgColor indexed="64"/>
      </patternFill>
    </fill>
    <fill>
      <patternFill patternType="solid">
        <fgColor rgb="FFFBA877"/>
        <bgColor indexed="64"/>
      </patternFill>
    </fill>
    <fill>
      <patternFill patternType="solid">
        <fgColor rgb="FFFFEA84"/>
        <bgColor indexed="64"/>
      </patternFill>
    </fill>
    <fill>
      <patternFill patternType="solid">
        <fgColor rgb="FF9ECF7E"/>
        <bgColor indexed="64"/>
      </patternFill>
    </fill>
    <fill>
      <patternFill patternType="solid">
        <fgColor rgb="FFC5DA81"/>
        <bgColor indexed="64"/>
      </patternFill>
    </fill>
    <fill>
      <patternFill patternType="solid">
        <fgColor rgb="FF72C27C"/>
        <bgColor indexed="64"/>
      </patternFill>
    </fill>
    <fill>
      <patternFill patternType="solid">
        <fgColor rgb="FFEBE583"/>
        <bgColor indexed="64"/>
      </patternFill>
    </fill>
    <fill>
      <patternFill patternType="solid">
        <fgColor rgb="FF81C77D"/>
        <bgColor indexed="64"/>
      </patternFill>
    </fill>
    <fill>
      <patternFill patternType="solid">
        <fgColor rgb="FFBED880"/>
        <bgColor indexed="64"/>
      </patternFill>
    </fill>
    <fill>
      <patternFill patternType="solid">
        <fgColor rgb="FFCDDD81"/>
        <bgColor indexed="64"/>
      </patternFill>
    </fill>
    <fill>
      <patternFill patternType="solid">
        <fgColor rgb="FFFB9F75"/>
        <bgColor indexed="64"/>
      </patternFill>
    </fill>
    <fill>
      <patternFill patternType="solid">
        <fgColor rgb="FFA7D27F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F86E6C"/>
        <bgColor indexed="64"/>
      </patternFill>
    </fill>
    <fill>
      <patternFill patternType="solid">
        <fgColor rgb="FF86C87D"/>
        <bgColor indexed="64"/>
      </patternFill>
    </fill>
    <fill>
      <patternFill patternType="solid">
        <fgColor rgb="FFB0D47F"/>
        <bgColor indexed="64"/>
      </patternFill>
    </fill>
    <fill>
      <patternFill patternType="solid">
        <fgColor rgb="FF80C67D"/>
        <bgColor indexed="64"/>
      </patternFill>
    </fill>
    <fill>
      <patternFill patternType="solid">
        <fgColor rgb="FFBBD780"/>
        <bgColor indexed="64"/>
      </patternFill>
    </fill>
    <fill>
      <patternFill patternType="solid">
        <fgColor rgb="FF88C97D"/>
        <bgColor indexed="64"/>
      </patternFill>
    </fill>
    <fill>
      <patternFill patternType="solid">
        <fgColor rgb="FFF6E883"/>
        <bgColor indexed="64"/>
      </patternFill>
    </fill>
    <fill>
      <patternFill patternType="solid">
        <fgColor rgb="FF9ACE7E"/>
        <bgColor indexed="64"/>
      </patternFill>
    </fill>
    <fill>
      <patternFill patternType="solid">
        <fgColor rgb="FFACD37F"/>
        <bgColor indexed="64"/>
      </patternFill>
    </fill>
    <fill>
      <patternFill patternType="solid">
        <fgColor rgb="FFFEEB84"/>
        <bgColor indexed="64"/>
      </patternFill>
    </fill>
    <fill>
      <patternFill patternType="solid">
        <fgColor rgb="FFDCE182"/>
        <bgColor indexed="64"/>
      </patternFill>
    </fill>
    <fill>
      <patternFill patternType="solid">
        <fgColor rgb="FF74C37C"/>
        <bgColor indexed="64"/>
      </patternFill>
    </fill>
    <fill>
      <patternFill patternType="solid">
        <fgColor rgb="FF92CB7E"/>
        <bgColor indexed="64"/>
      </patternFill>
    </fill>
    <fill>
      <patternFill patternType="solid">
        <fgColor rgb="FF6CC17C"/>
        <bgColor indexed="64"/>
      </patternFill>
    </fill>
    <fill>
      <patternFill patternType="solid">
        <fgColor rgb="FF71C27C"/>
        <bgColor indexed="64"/>
      </patternFill>
    </fill>
    <fill>
      <patternFill patternType="solid">
        <fgColor rgb="FF7AC57C"/>
        <bgColor indexed="64"/>
      </patternFill>
    </fill>
    <fill>
      <patternFill patternType="solid">
        <fgColor rgb="FF8DCA7D"/>
        <bgColor indexed="64"/>
      </patternFill>
    </fill>
    <fill>
      <patternFill patternType="solid">
        <fgColor rgb="FFAED47F"/>
        <bgColor indexed="64"/>
      </patternFill>
    </fill>
    <fill>
      <patternFill patternType="solid">
        <fgColor rgb="FF65BF7B"/>
        <bgColor indexed="64"/>
      </patternFill>
    </fill>
    <fill>
      <patternFill patternType="solid">
        <fgColor rgb="FF68C07B"/>
        <bgColor indexed="64"/>
      </patternFill>
    </fill>
    <fill>
      <patternFill patternType="solid">
        <fgColor rgb="FFE8E483"/>
        <bgColor indexed="64"/>
      </patternFill>
    </fill>
    <fill>
      <patternFill patternType="solid">
        <fgColor rgb="FF7DC67D"/>
        <bgColor indexed="64"/>
      </patternFill>
    </fill>
    <fill>
      <patternFill patternType="solid">
        <fgColor rgb="FFFCEA84"/>
        <bgColor indexed="64"/>
      </patternFill>
    </fill>
    <fill>
      <patternFill patternType="solid">
        <fgColor rgb="FFE2E382"/>
        <bgColor indexed="64"/>
      </patternFill>
    </fill>
    <fill>
      <patternFill patternType="solid">
        <fgColor rgb="FF9BCE7E"/>
        <bgColor indexed="64"/>
      </patternFill>
    </fill>
    <fill>
      <patternFill patternType="solid">
        <fgColor rgb="FFE9E583"/>
        <bgColor indexed="64"/>
      </patternFill>
    </fill>
    <fill>
      <patternFill patternType="solid">
        <fgColor rgb="FF99CD7E"/>
        <bgColor indexed="64"/>
      </patternFill>
    </fill>
    <fill>
      <patternFill patternType="solid">
        <fgColor rgb="FF70C27C"/>
        <bgColor indexed="64"/>
      </patternFill>
    </fill>
    <fill>
      <patternFill patternType="solid">
        <fgColor rgb="FF6AC07B"/>
        <bgColor indexed="64"/>
      </patternFill>
    </fill>
    <fill>
      <patternFill patternType="solid">
        <fgColor rgb="FF76C37C"/>
        <bgColor indexed="64"/>
      </patternFill>
    </fill>
    <fill>
      <patternFill patternType="solid">
        <fgColor rgb="FF93CC7E"/>
        <bgColor indexed="64"/>
      </patternFill>
    </fill>
    <fill>
      <patternFill patternType="solid">
        <fgColor rgb="FFC3DA81"/>
        <bgColor indexed="64"/>
      </patternFill>
    </fill>
    <fill>
      <patternFill patternType="solid">
        <fgColor rgb="FFFEE082"/>
        <bgColor indexed="64"/>
      </patternFill>
    </fill>
    <fill>
      <patternFill patternType="solid">
        <fgColor rgb="FFABD37F"/>
        <bgColor indexed="64"/>
      </patternFill>
    </fill>
    <fill>
      <patternFill patternType="solid">
        <fgColor rgb="FF8CCA7D"/>
        <bgColor indexed="64"/>
      </patternFill>
    </fill>
    <fill>
      <patternFill patternType="solid">
        <fgColor rgb="FFFB9974"/>
        <bgColor indexed="64"/>
      </patternFill>
    </fill>
    <fill>
      <patternFill patternType="solid">
        <fgColor rgb="FFFA8771"/>
        <bgColor indexed="64"/>
      </patternFill>
    </fill>
    <fill>
      <patternFill patternType="solid">
        <fgColor rgb="FFC9DB81"/>
        <bgColor indexed="64"/>
      </patternFill>
    </fill>
    <fill>
      <patternFill patternType="solid">
        <fgColor rgb="FFBDD880"/>
        <bgColor indexed="64"/>
      </patternFill>
    </fill>
    <fill>
      <patternFill patternType="solid">
        <fgColor rgb="FF8AC97D"/>
        <bgColor indexed="64"/>
      </patternFill>
    </fill>
    <fill>
      <patternFill patternType="solid">
        <fgColor rgb="FFC7DB81"/>
        <bgColor indexed="64"/>
      </patternFill>
    </fill>
    <fill>
      <patternFill patternType="solid">
        <fgColor rgb="FFBBD880"/>
        <bgColor indexed="64"/>
      </patternFill>
    </fill>
    <fill>
      <patternFill patternType="solid">
        <fgColor rgb="FFDDE182"/>
        <bgColor indexed="64"/>
      </patternFill>
    </fill>
    <fill>
      <patternFill patternType="solid">
        <fgColor rgb="FFD2DE81"/>
        <bgColor indexed="64"/>
      </patternFill>
    </fill>
    <fill>
      <patternFill patternType="solid">
        <fgColor rgb="FFA5D17F"/>
        <bgColor indexed="64"/>
      </patternFill>
    </fill>
    <fill>
      <patternFill patternType="solid">
        <fgColor rgb="FFCCDC81"/>
        <bgColor indexed="64"/>
      </patternFill>
    </fill>
    <fill>
      <patternFill patternType="solid">
        <fgColor rgb="FFDEE282"/>
        <bgColor indexed="64"/>
      </patternFill>
    </fill>
    <fill>
      <patternFill patternType="solid">
        <fgColor rgb="FF75C37C"/>
        <bgColor indexed="64"/>
      </patternFill>
    </fill>
    <fill>
      <patternFill patternType="solid">
        <fgColor rgb="FFA1D07F"/>
        <bgColor indexed="64"/>
      </patternFill>
    </fill>
    <fill>
      <patternFill patternType="solid">
        <fgColor rgb="FFD8E082"/>
        <bgColor indexed="64"/>
      </patternFill>
    </fill>
    <fill>
      <patternFill patternType="solid">
        <fgColor rgb="FFF9766E"/>
        <bgColor indexed="64"/>
      </patternFill>
    </fill>
    <fill>
      <patternFill patternType="solid">
        <fgColor rgb="FFBFD880"/>
        <bgColor indexed="64"/>
      </patternFill>
    </fill>
    <fill>
      <patternFill patternType="solid">
        <fgColor rgb="FFFED880"/>
        <bgColor indexed="64"/>
      </patternFill>
    </fill>
    <fill>
      <patternFill patternType="solid">
        <fgColor rgb="FFD7DF82"/>
        <bgColor indexed="64"/>
      </patternFill>
    </fill>
    <fill>
      <patternFill patternType="solid">
        <fgColor rgb="FF78C47C"/>
        <bgColor indexed="64"/>
      </patternFill>
    </fill>
    <fill>
      <patternFill patternType="solid">
        <fgColor rgb="FFF9786E"/>
        <bgColor indexed="64"/>
      </patternFill>
    </fill>
    <fill>
      <patternFill patternType="solid">
        <fgColor rgb="FFDFE282"/>
        <bgColor indexed="64"/>
      </patternFill>
    </fill>
    <fill>
      <patternFill patternType="solid">
        <fgColor rgb="FF82C77D"/>
        <bgColor indexed="64"/>
      </patternFill>
    </fill>
    <fill>
      <patternFill patternType="solid">
        <fgColor rgb="FFC0D980"/>
        <bgColor indexed="64"/>
      </patternFill>
    </fill>
    <fill>
      <patternFill patternType="solid">
        <fgColor rgb="FFFDCD7E"/>
        <bgColor indexed="64"/>
      </patternFill>
    </fill>
    <fill>
      <patternFill patternType="solid">
        <fgColor rgb="FFBFD980"/>
        <bgColor indexed="64"/>
      </patternFill>
    </fill>
    <fill>
      <patternFill patternType="solid">
        <fgColor rgb="FF84C87D"/>
        <bgColor indexed="64"/>
      </patternFill>
    </fill>
    <fill>
      <patternFill patternType="solid">
        <fgColor rgb="FFFEDF82"/>
        <bgColor indexed="64"/>
      </patternFill>
    </fill>
    <fill>
      <patternFill patternType="solid">
        <fgColor rgb="FFFDC57D"/>
        <bgColor indexed="64"/>
      </patternFill>
    </fill>
    <fill>
      <patternFill patternType="solid">
        <fgColor rgb="FF91CB7E"/>
        <bgColor indexed="64"/>
      </patternFill>
    </fill>
    <fill>
      <patternFill patternType="solid">
        <fgColor rgb="FF98CD7E"/>
        <bgColor indexed="64"/>
      </patternFill>
    </fill>
    <fill>
      <patternFill patternType="solid">
        <fgColor rgb="FF8BC97D"/>
        <bgColor indexed="64"/>
      </patternFill>
    </fill>
    <fill>
      <patternFill patternType="solid">
        <fgColor rgb="FFEEE683"/>
        <bgColor indexed="64"/>
      </patternFill>
    </fill>
    <fill>
      <patternFill patternType="solid">
        <fgColor rgb="FFB2D580"/>
        <bgColor indexed="64"/>
      </patternFill>
    </fill>
    <fill>
      <patternFill patternType="solid">
        <fgColor rgb="FFCFDD81"/>
        <bgColor indexed="64"/>
      </patternFill>
    </fill>
    <fill>
      <patternFill patternType="solid">
        <fgColor rgb="FFDAE082"/>
        <bgColor indexed="64"/>
      </patternFill>
    </fill>
    <fill>
      <patternFill patternType="solid">
        <fgColor rgb="FF77C47C"/>
        <bgColor indexed="64"/>
      </patternFill>
    </fill>
    <fill>
      <patternFill patternType="solid">
        <fgColor rgb="FFFCB97A"/>
        <bgColor indexed="64"/>
      </patternFill>
    </fill>
    <fill>
      <patternFill patternType="solid">
        <fgColor rgb="FFFFE683"/>
        <bgColor indexed="64"/>
      </patternFill>
    </fill>
    <fill>
      <patternFill patternType="solid">
        <fgColor rgb="FF6BC07B"/>
        <bgColor indexed="64"/>
      </patternFill>
    </fill>
    <fill>
      <patternFill patternType="solid">
        <fgColor rgb="FF92CC7E"/>
        <bgColor indexed="64"/>
      </patternFill>
    </fill>
    <fill>
      <patternFill patternType="solid">
        <fgColor rgb="FFF9746D"/>
        <bgColor indexed="64"/>
      </patternFill>
    </fill>
    <fill>
      <patternFill patternType="solid">
        <fgColor rgb="FFFB9874"/>
        <bgColor indexed="64"/>
      </patternFill>
    </fill>
    <fill>
      <patternFill patternType="solid">
        <fgColor rgb="FFFECF7F"/>
        <bgColor indexed="64"/>
      </patternFill>
    </fill>
    <fill>
      <patternFill patternType="solid">
        <fgColor rgb="FF69C07B"/>
        <bgColor indexed="64"/>
      </patternFill>
    </fill>
    <fill>
      <patternFill patternType="solid">
        <fgColor rgb="FFBAD780"/>
        <bgColor indexed="64"/>
      </patternFill>
    </fill>
    <fill>
      <patternFill patternType="solid">
        <fgColor rgb="FFFFE883"/>
        <bgColor indexed="64"/>
      </patternFill>
    </fill>
    <fill>
      <patternFill patternType="solid">
        <fgColor rgb="FFDBE182"/>
        <bgColor indexed="64"/>
      </patternFill>
    </fill>
    <fill>
      <patternFill patternType="solid">
        <fgColor rgb="FF7DC57C"/>
        <bgColor indexed="64"/>
      </patternFill>
    </fill>
    <fill>
      <patternFill patternType="solid">
        <fgColor rgb="FF7EC67D"/>
        <bgColor indexed="64"/>
      </patternFill>
    </fill>
    <fill>
      <patternFill patternType="solid">
        <fgColor rgb="FFFED580"/>
        <bgColor indexed="64"/>
      </patternFill>
    </fill>
    <fill>
      <patternFill patternType="solid">
        <fgColor rgb="FF85C87D"/>
        <bgColor indexed="64"/>
      </patternFill>
    </fill>
    <fill>
      <patternFill patternType="solid">
        <fgColor rgb="FFCBDC81"/>
        <bgColor indexed="64"/>
      </patternFill>
    </fill>
    <fill>
      <patternFill patternType="solid">
        <fgColor rgb="FFEDE683"/>
        <bgColor indexed="64"/>
      </patternFill>
    </fill>
    <fill>
      <patternFill patternType="solid">
        <fgColor rgb="FFF0E783"/>
        <bgColor indexed="64"/>
      </patternFill>
    </fill>
    <fill>
      <patternFill patternType="solid">
        <fgColor rgb="FFC4DA81"/>
        <bgColor indexed="64"/>
      </patternFill>
    </fill>
    <fill>
      <patternFill patternType="solid">
        <fgColor rgb="FFC9DC81"/>
        <bgColor indexed="64"/>
      </patternFill>
    </fill>
    <fill>
      <patternFill patternType="solid">
        <fgColor rgb="FFFCB57A"/>
        <bgColor indexed="64"/>
      </patternFill>
    </fill>
    <fill>
      <patternFill patternType="solid">
        <fgColor rgb="FFD9E082"/>
        <bgColor indexed="64"/>
      </patternFill>
    </fill>
    <fill>
      <patternFill patternType="solid">
        <fgColor rgb="FF67BF7B"/>
        <bgColor indexed="64"/>
      </patternFill>
    </fill>
    <fill>
      <patternFill patternType="solid">
        <fgColor rgb="FFFCAB78"/>
        <bgColor indexed="64"/>
      </patternFill>
    </fill>
    <fill>
      <patternFill patternType="solid">
        <fgColor rgb="FF84C77D"/>
        <bgColor indexed="64"/>
      </patternFill>
    </fill>
    <fill>
      <patternFill patternType="solid">
        <fgColor rgb="FFE6E483"/>
        <bgColor indexed="64"/>
      </patternFill>
    </fill>
    <fill>
      <patternFill patternType="solid">
        <fgColor rgb="FFFCAE78"/>
        <bgColor indexed="64"/>
      </patternFill>
    </fill>
    <fill>
      <patternFill patternType="solid">
        <fgColor rgb="FF97CD7E"/>
        <bgColor indexed="64"/>
      </patternFill>
    </fill>
    <fill>
      <patternFill patternType="solid">
        <fgColor rgb="FFFDCA7E"/>
        <bgColor indexed="64"/>
      </patternFill>
    </fill>
    <fill>
      <patternFill patternType="solid">
        <fgColor rgb="FFFFE58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9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ck">
        <color indexed="64"/>
      </right>
      <top style="dashed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/>
      <bottom style="dashed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ashed">
        <color indexed="64"/>
      </bottom>
      <diagonal/>
    </border>
    <border>
      <left style="thick">
        <color indexed="64"/>
      </left>
      <right/>
      <top style="dashed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dashed">
        <color indexed="64"/>
      </bottom>
      <diagonal/>
    </border>
    <border>
      <left style="thick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ashed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dashed">
        <color indexed="64"/>
      </bottom>
      <diagonal/>
    </border>
    <border>
      <left/>
      <right/>
      <top style="thick">
        <color indexed="64"/>
      </top>
      <bottom style="dashed">
        <color indexed="64"/>
      </bottom>
      <diagonal/>
    </border>
    <border>
      <left/>
      <right style="thin">
        <color indexed="64"/>
      </right>
      <top style="thick">
        <color indexed="64"/>
      </top>
      <bottom style="dashed">
        <color indexed="64"/>
      </bottom>
      <diagonal/>
    </border>
    <border>
      <left style="thin">
        <color rgb="FFB7CBD3"/>
      </left>
      <right style="thin">
        <color rgb="FFB7CBD3"/>
      </right>
      <top style="thin">
        <color rgb="FFB7CBD3"/>
      </top>
      <bottom style="thin">
        <color rgb="FFB7CBD3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n">
        <color theme="1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indexed="64"/>
      </left>
      <right style="thin">
        <color indexed="64"/>
      </right>
      <top style="dashed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/>
      <right style="thick">
        <color indexed="64"/>
      </right>
      <top style="thin">
        <color theme="0"/>
      </top>
      <bottom/>
      <diagonal/>
    </border>
    <border>
      <left/>
      <right style="thick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/>
      <top style="thin">
        <color theme="0"/>
      </top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n">
        <color indexed="64"/>
      </right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ck">
        <color theme="1"/>
      </left>
      <right/>
      <top style="thick">
        <color indexed="64"/>
      </top>
      <bottom/>
      <diagonal/>
    </border>
    <border>
      <left style="thick">
        <color theme="1"/>
      </left>
      <right/>
      <top/>
      <bottom style="thick">
        <color indexed="64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thick">
        <color indexed="64"/>
      </right>
      <top/>
      <bottom style="dashed">
        <color indexed="64"/>
      </bottom>
      <diagonal/>
    </border>
    <border>
      <left style="thick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dashed">
        <color indexed="64"/>
      </top>
      <bottom/>
      <diagonal/>
    </border>
    <border>
      <left style="thick">
        <color indexed="64"/>
      </left>
      <right style="medium">
        <color indexed="64"/>
      </right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thick">
        <color indexed="64"/>
      </right>
      <top style="dashed">
        <color indexed="64"/>
      </top>
      <bottom style="thick">
        <color indexed="64"/>
      </bottom>
      <diagonal/>
    </border>
    <border>
      <left/>
      <right style="thick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theme="0"/>
      </left>
      <right style="thick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theme="0"/>
      </right>
      <top style="thin">
        <color theme="0"/>
      </top>
      <bottom/>
      <diagonal/>
    </border>
    <border>
      <left style="thick">
        <color indexed="64"/>
      </left>
      <right style="thin">
        <color theme="0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/>
      <diagonal/>
    </border>
    <border>
      <left style="medium">
        <color rgb="FF1F38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 style="dashed">
        <color indexed="64"/>
      </bottom>
      <diagonal/>
    </border>
    <border>
      <left style="medium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theme="1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rgb="FFFFFFFF"/>
      </left>
      <right style="thick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/>
      <top style="thin">
        <color rgb="FFFFFFFF"/>
      </top>
      <bottom style="thick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indexed="64"/>
      </bottom>
      <diagonal/>
    </border>
    <border>
      <left style="thin">
        <color rgb="FFFFFFFF"/>
      </left>
      <right style="thick">
        <color indexed="64"/>
      </right>
      <top style="thin">
        <color rgb="FFFFFFFF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indexed="64"/>
      </top>
      <bottom style="thin">
        <color rgb="FFFFFFFF"/>
      </bottom>
      <diagonal/>
    </border>
    <border>
      <left style="thin">
        <color rgb="FFFFFFFF"/>
      </left>
      <right style="thick">
        <color indexed="64"/>
      </right>
      <top style="medium">
        <color indexed="64"/>
      </top>
      <bottom style="thin">
        <color rgb="FFFFFFFF"/>
      </bottom>
      <diagonal/>
    </border>
    <border>
      <left style="thin">
        <color rgb="FFFFFFFF"/>
      </left>
      <right style="thick">
        <color indexed="64"/>
      </right>
      <top style="thin">
        <color rgb="FFFFFFFF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rgb="FFFFFFFF"/>
      </right>
      <top style="medium">
        <color indexed="64"/>
      </top>
      <bottom/>
      <diagonal/>
    </border>
    <border>
      <left style="medium">
        <color indexed="64"/>
      </left>
      <right style="thin">
        <color rgb="FFB7CBD3"/>
      </right>
      <top style="medium">
        <color indexed="64"/>
      </top>
      <bottom style="thin">
        <color rgb="FFB7CBD3"/>
      </bottom>
      <diagonal/>
    </border>
    <border>
      <left style="thin">
        <color rgb="FFB7CBD3"/>
      </left>
      <right style="thin">
        <color rgb="FFB7CBD3"/>
      </right>
      <top style="medium">
        <color indexed="64"/>
      </top>
      <bottom style="thin">
        <color rgb="FFB7CBD3"/>
      </bottom>
      <diagonal/>
    </border>
    <border>
      <left style="thin">
        <color rgb="FFB7CBD3"/>
      </left>
      <right style="medium">
        <color indexed="64"/>
      </right>
      <top style="medium">
        <color indexed="64"/>
      </top>
      <bottom style="thin">
        <color rgb="FFB7CBD3"/>
      </bottom>
      <diagonal/>
    </border>
    <border>
      <left style="medium">
        <color indexed="64"/>
      </left>
      <right style="thin">
        <color rgb="FFB7CBD3"/>
      </right>
      <top style="thin">
        <color rgb="FFB7CBD3"/>
      </top>
      <bottom style="thin">
        <color rgb="FFB7CBD3"/>
      </bottom>
      <diagonal/>
    </border>
    <border>
      <left style="thin">
        <color rgb="FFB7CBD3"/>
      </left>
      <right style="medium">
        <color indexed="64"/>
      </right>
      <top style="thin">
        <color rgb="FFB7CBD3"/>
      </top>
      <bottom style="thin">
        <color rgb="FFB7CBD3"/>
      </bottom>
      <diagonal/>
    </border>
    <border>
      <left style="medium">
        <color indexed="64"/>
      </left>
      <right style="thin">
        <color rgb="FFB7CBD3"/>
      </right>
      <top style="thin">
        <color rgb="FFB7CBD3"/>
      </top>
      <bottom style="medium">
        <color indexed="64"/>
      </bottom>
      <diagonal/>
    </border>
    <border>
      <left style="thin">
        <color rgb="FFB7CBD3"/>
      </left>
      <right style="thin">
        <color rgb="FFB7CBD3"/>
      </right>
      <top style="thin">
        <color rgb="FFB7CBD3"/>
      </top>
      <bottom style="medium">
        <color indexed="64"/>
      </bottom>
      <diagonal/>
    </border>
    <border>
      <left style="thin">
        <color rgb="FFB7CBD3"/>
      </left>
      <right style="medium">
        <color indexed="64"/>
      </right>
      <top style="thin">
        <color rgb="FFB7CBD3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98">
    <xf numFmtId="0" fontId="0" fillId="0" borderId="0" xfId="0"/>
    <xf numFmtId="0" fontId="2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9" fontId="2" fillId="0" borderId="0" xfId="1" applyFont="1" applyAlignment="1" applyProtection="1">
      <alignment horizontal="center" vertical="center"/>
      <protection hidden="1"/>
    </xf>
    <xf numFmtId="167" fontId="2" fillId="0" borderId="0" xfId="1" applyNumberFormat="1" applyFont="1" applyAlignment="1" applyProtection="1">
      <alignment horizontal="center" vertical="center"/>
      <protection hidden="1"/>
    </xf>
    <xf numFmtId="164" fontId="4" fillId="5" borderId="16" xfId="1" applyNumberFormat="1" applyFont="1" applyFill="1" applyBorder="1" applyAlignment="1" applyProtection="1">
      <alignment horizontal="center" vertical="center"/>
      <protection hidden="1"/>
    </xf>
    <xf numFmtId="164" fontId="4" fillId="5" borderId="22" xfId="0" applyNumberFormat="1" applyFont="1" applyFill="1" applyBorder="1" applyAlignment="1" applyProtection="1">
      <alignment horizontal="center" vertical="center"/>
      <protection hidden="1"/>
    </xf>
    <xf numFmtId="165" fontId="4" fillId="5" borderId="26" xfId="1" applyNumberFormat="1" applyFont="1" applyFill="1" applyBorder="1" applyAlignment="1" applyProtection="1">
      <alignment horizontal="center" vertical="center"/>
      <protection hidden="1"/>
    </xf>
    <xf numFmtId="164" fontId="4" fillId="5" borderId="26" xfId="1" applyNumberFormat="1" applyFont="1" applyFill="1" applyBorder="1" applyAlignment="1" applyProtection="1">
      <alignment horizontal="center" vertical="center"/>
      <protection hidden="1"/>
    </xf>
    <xf numFmtId="166" fontId="4" fillId="5" borderId="26" xfId="1" applyNumberFormat="1" applyFont="1" applyFill="1" applyBorder="1" applyAlignment="1" applyProtection="1">
      <alignment horizontal="center" vertical="center"/>
      <protection hidden="1"/>
    </xf>
    <xf numFmtId="1" fontId="4" fillId="5" borderId="26" xfId="1" applyNumberFormat="1" applyFont="1" applyFill="1" applyBorder="1" applyAlignment="1" applyProtection="1">
      <alignment horizontal="center" vertical="center"/>
      <protection hidden="1"/>
    </xf>
    <xf numFmtId="1" fontId="4" fillId="5" borderId="30" xfId="1" applyNumberFormat="1" applyFont="1" applyFill="1" applyBorder="1" applyAlignment="1" applyProtection="1">
      <alignment horizontal="center" vertical="center"/>
      <protection hidden="1"/>
    </xf>
    <xf numFmtId="1" fontId="4" fillId="5" borderId="21" xfId="1" applyNumberFormat="1" applyFont="1" applyFill="1" applyBorder="1" applyAlignment="1" applyProtection="1">
      <alignment horizontal="center" vertical="center"/>
      <protection hidden="1"/>
    </xf>
    <xf numFmtId="1" fontId="4" fillId="5" borderId="16" xfId="1" applyNumberFormat="1" applyFont="1" applyFill="1" applyBorder="1" applyAlignment="1" applyProtection="1">
      <alignment horizontal="center" vertical="center"/>
      <protection hidden="1"/>
    </xf>
    <xf numFmtId="1" fontId="4" fillId="5" borderId="40" xfId="1" applyNumberFormat="1" applyFont="1" applyFill="1" applyBorder="1" applyAlignment="1" applyProtection="1">
      <alignment horizontal="center" vertical="center"/>
      <protection hidden="1"/>
    </xf>
    <xf numFmtId="1" fontId="4" fillId="5" borderId="39" xfId="1" applyNumberFormat="1" applyFont="1" applyFill="1" applyBorder="1" applyAlignment="1" applyProtection="1">
      <alignment horizontal="center" vertical="center"/>
      <protection hidden="1"/>
    </xf>
    <xf numFmtId="1" fontId="4" fillId="5" borderId="22" xfId="1" applyNumberFormat="1" applyFont="1" applyFill="1" applyBorder="1" applyAlignment="1" applyProtection="1">
      <alignment horizontal="center" vertical="center"/>
      <protection hidden="1"/>
    </xf>
    <xf numFmtId="1" fontId="4" fillId="5" borderId="43" xfId="1" applyNumberFormat="1" applyFont="1" applyFill="1" applyBorder="1" applyAlignment="1" applyProtection="1">
      <alignment horizontal="center" vertical="center"/>
      <protection hidden="1"/>
    </xf>
    <xf numFmtId="1" fontId="4" fillId="5" borderId="42" xfId="1" applyNumberFormat="1" applyFont="1" applyFill="1" applyBorder="1" applyAlignment="1" applyProtection="1">
      <alignment horizontal="center" vertical="center"/>
      <protection hidden="1"/>
    </xf>
    <xf numFmtId="1" fontId="4" fillId="5" borderId="17" xfId="1" applyNumberFormat="1" applyFont="1" applyFill="1" applyBorder="1" applyAlignment="1" applyProtection="1">
      <alignment horizontal="center" vertical="center"/>
      <protection hidden="1"/>
    </xf>
    <xf numFmtId="10" fontId="4" fillId="5" borderId="30" xfId="1" applyNumberFormat="1" applyFont="1" applyFill="1" applyBorder="1" applyAlignment="1" applyProtection="1">
      <alignment horizontal="center" vertical="center"/>
      <protection hidden="1"/>
    </xf>
    <xf numFmtId="10" fontId="4" fillId="5" borderId="43" xfId="1" applyNumberFormat="1" applyFont="1" applyFill="1" applyBorder="1" applyAlignment="1" applyProtection="1">
      <alignment horizontal="center" vertical="center"/>
      <protection hidden="1"/>
    </xf>
    <xf numFmtId="1" fontId="4" fillId="5" borderId="46" xfId="1" applyNumberFormat="1" applyFont="1" applyFill="1" applyBorder="1" applyAlignment="1" applyProtection="1">
      <alignment horizontal="center" vertical="center"/>
      <protection hidden="1"/>
    </xf>
    <xf numFmtId="1" fontId="4" fillId="5" borderId="47" xfId="1" applyNumberFormat="1" applyFont="1" applyFill="1" applyBorder="1" applyAlignment="1" applyProtection="1">
      <alignment horizontal="center" vertical="center"/>
      <protection hidden="1"/>
    </xf>
    <xf numFmtId="164" fontId="4" fillId="7" borderId="26" xfId="0" applyNumberFormat="1" applyFont="1" applyFill="1" applyBorder="1" applyAlignment="1" applyProtection="1">
      <alignment horizontal="center" vertical="center"/>
      <protection locked="0"/>
    </xf>
    <xf numFmtId="164" fontId="4" fillId="7" borderId="16" xfId="0" applyNumberFormat="1" applyFont="1" applyFill="1" applyBorder="1" applyAlignment="1" applyProtection="1">
      <alignment horizontal="center" vertical="center"/>
      <protection locked="0"/>
    </xf>
    <xf numFmtId="164" fontId="4" fillId="7" borderId="22" xfId="0" applyNumberFormat="1" applyFont="1" applyFill="1" applyBorder="1" applyAlignment="1" applyProtection="1">
      <alignment horizontal="center" vertical="center"/>
      <protection locked="0"/>
    </xf>
    <xf numFmtId="164" fontId="4" fillId="7" borderId="39" xfId="0" applyNumberFormat="1" applyFont="1" applyFill="1" applyBorder="1" applyAlignment="1" applyProtection="1">
      <alignment horizontal="center" vertical="center"/>
      <protection locked="0"/>
    </xf>
    <xf numFmtId="165" fontId="4" fillId="5" borderId="28" xfId="1" applyNumberFormat="1" applyFont="1" applyFill="1" applyBorder="1" applyAlignment="1" applyProtection="1">
      <alignment horizontal="center" vertical="center"/>
      <protection hidden="1"/>
    </xf>
    <xf numFmtId="166" fontId="4" fillId="5" borderId="46" xfId="0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4" fillId="3" borderId="7" xfId="0" applyFont="1" applyFill="1" applyBorder="1" applyAlignment="1" applyProtection="1">
      <alignment horizontal="center" vertical="center"/>
      <protection hidden="1"/>
    </xf>
    <xf numFmtId="0" fontId="2" fillId="0" borderId="0" xfId="0" applyFont="1"/>
    <xf numFmtId="0" fontId="2" fillId="0" borderId="18" xfId="0" applyFont="1" applyBorder="1" applyAlignment="1" applyProtection="1">
      <alignment horizontal="center" vertical="center"/>
      <protection hidden="1"/>
    </xf>
    <xf numFmtId="164" fontId="4" fillId="7" borderId="33" xfId="0" applyNumberFormat="1" applyFont="1" applyFill="1" applyBorder="1" applyAlignment="1" applyProtection="1">
      <alignment horizontal="center" vertical="center"/>
      <protection locked="0"/>
    </xf>
    <xf numFmtId="164" fontId="4" fillId="7" borderId="41" xfId="0" applyNumberFormat="1" applyFont="1" applyFill="1" applyBorder="1" applyAlignment="1" applyProtection="1">
      <alignment horizontal="center" vertical="center"/>
      <protection locked="0"/>
    </xf>
    <xf numFmtId="164" fontId="4" fillId="7" borderId="38" xfId="0" applyNumberFormat="1" applyFont="1" applyFill="1" applyBorder="1" applyAlignment="1" applyProtection="1">
      <alignment horizontal="center" vertical="center"/>
      <protection locked="0"/>
    </xf>
    <xf numFmtId="164" fontId="4" fillId="7" borderId="75" xfId="0" applyNumberFormat="1" applyFont="1" applyFill="1" applyBorder="1" applyAlignment="1" applyProtection="1">
      <alignment horizontal="center" vertical="center"/>
      <protection locked="0"/>
    </xf>
    <xf numFmtId="165" fontId="4" fillId="5" borderId="77" xfId="1" applyNumberFormat="1" applyFont="1" applyFill="1" applyBorder="1" applyAlignment="1" applyProtection="1">
      <alignment horizontal="center" vertical="center"/>
      <protection hidden="1"/>
    </xf>
    <xf numFmtId="165" fontId="4" fillId="5" borderId="19" xfId="1" applyNumberFormat="1" applyFont="1" applyFill="1" applyBorder="1" applyAlignment="1" applyProtection="1">
      <alignment horizontal="center" vertical="center"/>
      <protection hidden="1"/>
    </xf>
    <xf numFmtId="164" fontId="4" fillId="5" borderId="19" xfId="1" applyNumberFormat="1" applyFont="1" applyFill="1" applyBorder="1" applyAlignment="1" applyProtection="1">
      <alignment horizontal="center" vertical="center"/>
      <protection hidden="1"/>
    </xf>
    <xf numFmtId="166" fontId="4" fillId="5" borderId="19" xfId="1" applyNumberFormat="1" applyFont="1" applyFill="1" applyBorder="1" applyAlignment="1" applyProtection="1">
      <alignment horizontal="center" vertical="center"/>
      <protection hidden="1"/>
    </xf>
    <xf numFmtId="1" fontId="4" fillId="7" borderId="29" xfId="0" applyNumberFormat="1" applyFont="1" applyFill="1" applyBorder="1" applyAlignment="1" applyProtection="1">
      <alignment horizontal="center" vertical="center"/>
      <protection locked="0"/>
    </xf>
    <xf numFmtId="1" fontId="4" fillId="7" borderId="0" xfId="0" applyNumberFormat="1" applyFont="1" applyFill="1" applyAlignment="1" applyProtection="1">
      <alignment horizontal="center" vertical="center"/>
      <protection locked="0"/>
    </xf>
    <xf numFmtId="1" fontId="4" fillId="7" borderId="24" xfId="0" applyNumberFormat="1" applyFont="1" applyFill="1" applyBorder="1" applyAlignment="1" applyProtection="1">
      <alignment horizontal="center" vertical="center"/>
      <protection locked="0"/>
    </xf>
    <xf numFmtId="1" fontId="4" fillId="7" borderId="23" xfId="0" applyNumberFormat="1" applyFont="1" applyFill="1" applyBorder="1" applyAlignment="1" applyProtection="1">
      <alignment horizontal="center" vertical="center"/>
      <protection locked="0"/>
    </xf>
    <xf numFmtId="1" fontId="4" fillId="7" borderId="26" xfId="0" applyNumberFormat="1" applyFont="1" applyFill="1" applyBorder="1" applyAlignment="1" applyProtection="1">
      <alignment horizontal="center" vertical="center"/>
      <protection locked="0"/>
    </xf>
    <xf numFmtId="1" fontId="4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7" borderId="22" xfId="0" applyNumberFormat="1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hidden="1"/>
    </xf>
    <xf numFmtId="164" fontId="4" fillId="7" borderId="151" xfId="0" applyNumberFormat="1" applyFont="1" applyFill="1" applyBorder="1" applyAlignment="1" applyProtection="1">
      <alignment horizontal="center" vertical="center"/>
      <protection locked="0"/>
    </xf>
    <xf numFmtId="0" fontId="2" fillId="0" borderId="68" xfId="0" applyFont="1" applyBorder="1" applyAlignment="1" applyProtection="1">
      <alignment horizontal="center" vertical="center"/>
      <protection hidden="1"/>
    </xf>
    <xf numFmtId="0" fontId="2" fillId="0" borderId="116" xfId="0" applyFont="1" applyBorder="1" applyAlignment="1" applyProtection="1">
      <alignment vertical="center"/>
      <protection hidden="1"/>
    </xf>
    <xf numFmtId="0" fontId="2" fillId="0" borderId="5" xfId="0" applyFont="1" applyBorder="1" applyAlignment="1" applyProtection="1">
      <alignment vertical="center"/>
      <protection hidden="1"/>
    </xf>
    <xf numFmtId="0" fontId="2" fillId="0" borderId="117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vertical="center"/>
      <protection hidden="1"/>
    </xf>
    <xf numFmtId="164" fontId="10" fillId="7" borderId="51" xfId="0" applyNumberFormat="1" applyFont="1" applyFill="1" applyBorder="1" applyAlignment="1" applyProtection="1">
      <alignment horizontal="center" vertical="center"/>
      <protection locked="0"/>
    </xf>
    <xf numFmtId="1" fontId="10" fillId="7" borderId="26" xfId="0" applyNumberFormat="1" applyFont="1" applyFill="1" applyBorder="1" applyAlignment="1" applyProtection="1">
      <alignment horizontal="center" vertical="center"/>
      <protection locked="0"/>
    </xf>
    <xf numFmtId="164" fontId="10" fillId="7" borderId="26" xfId="0" applyNumberFormat="1" applyFont="1" applyFill="1" applyBorder="1" applyAlignment="1" applyProtection="1">
      <alignment horizontal="center" vertical="center"/>
      <protection locked="0"/>
    </xf>
    <xf numFmtId="165" fontId="10" fillId="5" borderId="28" xfId="1" applyNumberFormat="1" applyFont="1" applyFill="1" applyBorder="1" applyAlignment="1" applyProtection="1">
      <alignment horizontal="center" vertical="center"/>
      <protection hidden="1"/>
    </xf>
    <xf numFmtId="165" fontId="10" fillId="5" borderId="26" xfId="1" applyNumberFormat="1" applyFont="1" applyFill="1" applyBorder="1" applyAlignment="1" applyProtection="1">
      <alignment horizontal="center" vertical="center"/>
      <protection hidden="1"/>
    </xf>
    <xf numFmtId="164" fontId="10" fillId="5" borderId="26" xfId="1" applyNumberFormat="1" applyFont="1" applyFill="1" applyBorder="1" applyAlignment="1" applyProtection="1">
      <alignment horizontal="center" vertical="center"/>
      <protection hidden="1"/>
    </xf>
    <xf numFmtId="166" fontId="10" fillId="5" borderId="26" xfId="1" applyNumberFormat="1" applyFont="1" applyFill="1" applyBorder="1" applyAlignment="1" applyProtection="1">
      <alignment horizontal="center" vertical="center"/>
      <protection hidden="1"/>
    </xf>
    <xf numFmtId="1" fontId="10" fillId="5" borderId="26" xfId="1" applyNumberFormat="1" applyFont="1" applyFill="1" applyBorder="1" applyAlignment="1" applyProtection="1">
      <alignment horizontal="center" vertical="center"/>
      <protection hidden="1"/>
    </xf>
    <xf numFmtId="1" fontId="10" fillId="5" borderId="21" xfId="1" applyNumberFormat="1" applyFont="1" applyFill="1" applyBorder="1" applyAlignment="1" applyProtection="1">
      <alignment horizontal="center" vertical="center"/>
      <protection hidden="1"/>
    </xf>
    <xf numFmtId="164" fontId="10" fillId="7" borderId="32" xfId="0" applyNumberFormat="1" applyFont="1" applyFill="1" applyBorder="1" applyAlignment="1" applyProtection="1">
      <alignment horizontal="center" vertical="center"/>
      <protection locked="0"/>
    </xf>
    <xf numFmtId="1" fontId="10" fillId="7" borderId="16" xfId="0" applyNumberFormat="1" applyFont="1" applyFill="1" applyBorder="1" applyAlignment="1" applyProtection="1">
      <alignment horizontal="center" vertical="center"/>
      <protection locked="0"/>
    </xf>
    <xf numFmtId="164" fontId="10" fillId="7" borderId="16" xfId="0" applyNumberFormat="1" applyFont="1" applyFill="1" applyBorder="1" applyAlignment="1" applyProtection="1">
      <alignment horizontal="center" vertical="center"/>
      <protection locked="0"/>
    </xf>
    <xf numFmtId="1" fontId="10" fillId="5" borderId="16" xfId="1" applyNumberFormat="1" applyFont="1" applyFill="1" applyBorder="1" applyAlignment="1" applyProtection="1">
      <alignment horizontal="center" vertical="center"/>
      <protection hidden="1"/>
    </xf>
    <xf numFmtId="1" fontId="10" fillId="5" borderId="40" xfId="1" applyNumberFormat="1" applyFont="1" applyFill="1" applyBorder="1" applyAlignment="1" applyProtection="1">
      <alignment horizontal="center" vertical="center"/>
      <protection hidden="1"/>
    </xf>
    <xf numFmtId="164" fontId="10" fillId="7" borderId="52" xfId="0" applyNumberFormat="1" applyFont="1" applyFill="1" applyBorder="1" applyAlignment="1" applyProtection="1">
      <alignment horizontal="center" vertical="center"/>
      <protection locked="0"/>
    </xf>
    <xf numFmtId="1" fontId="10" fillId="7" borderId="22" xfId="0" applyNumberFormat="1" applyFont="1" applyFill="1" applyBorder="1" applyAlignment="1" applyProtection="1">
      <alignment horizontal="center" vertical="center"/>
      <protection locked="0"/>
    </xf>
    <xf numFmtId="164" fontId="10" fillId="7" borderId="22" xfId="0" applyNumberFormat="1" applyFont="1" applyFill="1" applyBorder="1" applyAlignment="1" applyProtection="1">
      <alignment horizontal="center" vertical="center"/>
      <protection locked="0"/>
    </xf>
    <xf numFmtId="1" fontId="10" fillId="5" borderId="39" xfId="1" applyNumberFormat="1" applyFont="1" applyFill="1" applyBorder="1" applyAlignment="1" applyProtection="1">
      <alignment horizontal="center" vertical="center"/>
      <protection hidden="1"/>
    </xf>
    <xf numFmtId="1" fontId="10" fillId="5" borderId="22" xfId="1" applyNumberFormat="1" applyFont="1" applyFill="1" applyBorder="1" applyAlignment="1" applyProtection="1">
      <alignment horizontal="center" vertical="center"/>
      <protection hidden="1"/>
    </xf>
    <xf numFmtId="164" fontId="10" fillId="7" borderId="49" xfId="0" applyNumberFormat="1" applyFont="1" applyFill="1" applyBorder="1" applyAlignment="1" applyProtection="1">
      <alignment horizontal="center" vertical="center"/>
      <protection locked="0"/>
    </xf>
    <xf numFmtId="1" fontId="10" fillId="7" borderId="39" xfId="0" applyNumberFormat="1" applyFont="1" applyFill="1" applyBorder="1" applyAlignment="1" applyProtection="1">
      <alignment horizontal="center" vertical="center"/>
      <protection locked="0"/>
    </xf>
    <xf numFmtId="164" fontId="10" fillId="7" borderId="39" xfId="0" applyNumberFormat="1" applyFont="1" applyFill="1" applyBorder="1" applyAlignment="1" applyProtection="1">
      <alignment horizontal="center" vertical="center"/>
      <protection locked="0"/>
    </xf>
    <xf numFmtId="1" fontId="10" fillId="5" borderId="42" xfId="1" applyNumberFormat="1" applyFont="1" applyFill="1" applyBorder="1" applyAlignment="1" applyProtection="1">
      <alignment horizontal="center" vertical="center"/>
      <protection hidden="1"/>
    </xf>
    <xf numFmtId="1" fontId="10" fillId="5" borderId="17" xfId="1" applyNumberFormat="1" applyFont="1" applyFill="1" applyBorder="1" applyAlignment="1" applyProtection="1">
      <alignment horizontal="center" vertical="center"/>
      <protection hidden="1"/>
    </xf>
    <xf numFmtId="164" fontId="10" fillId="7" borderId="75" xfId="0" applyNumberFormat="1" applyFont="1" applyFill="1" applyBorder="1" applyAlignment="1" applyProtection="1">
      <alignment horizontal="center" vertical="center"/>
      <protection locked="0"/>
    </xf>
    <xf numFmtId="165" fontId="10" fillId="5" borderId="77" xfId="1" applyNumberFormat="1" applyFont="1" applyFill="1" applyBorder="1" applyAlignment="1" applyProtection="1">
      <alignment horizontal="center" vertical="center"/>
      <protection hidden="1"/>
    </xf>
    <xf numFmtId="165" fontId="10" fillId="5" borderId="19" xfId="1" applyNumberFormat="1" applyFont="1" applyFill="1" applyBorder="1" applyAlignment="1" applyProtection="1">
      <alignment horizontal="center" vertical="center"/>
      <protection hidden="1"/>
    </xf>
    <xf numFmtId="164" fontId="10" fillId="5" borderId="19" xfId="1" applyNumberFormat="1" applyFont="1" applyFill="1" applyBorder="1" applyAlignment="1" applyProtection="1">
      <alignment horizontal="center" vertical="center"/>
      <protection hidden="1"/>
    </xf>
    <xf numFmtId="166" fontId="10" fillId="5" borderId="19" xfId="1" applyNumberFormat="1" applyFont="1" applyFill="1" applyBorder="1" applyAlignment="1" applyProtection="1">
      <alignment horizontal="center" vertical="center"/>
      <protection hidden="1"/>
    </xf>
    <xf numFmtId="1" fontId="10" fillId="5" borderId="46" xfId="1" applyNumberFormat="1" applyFont="1" applyFill="1" applyBorder="1" applyAlignment="1" applyProtection="1">
      <alignment horizontal="center" vertical="center"/>
      <protection hidden="1"/>
    </xf>
    <xf numFmtId="1" fontId="10" fillId="5" borderId="47" xfId="1" applyNumberFormat="1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4" fillId="3" borderId="37" xfId="0" applyFont="1" applyFill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 wrapText="1"/>
      <protection hidden="1"/>
    </xf>
    <xf numFmtId="0" fontId="4" fillId="3" borderId="32" xfId="0" applyFont="1" applyFill="1" applyBorder="1" applyAlignment="1" applyProtection="1">
      <alignment horizontal="center" vertical="center" wrapText="1"/>
      <protection hidden="1"/>
    </xf>
    <xf numFmtId="0" fontId="4" fillId="3" borderId="15" xfId="0" applyFont="1" applyFill="1" applyBorder="1" applyAlignment="1" applyProtection="1">
      <alignment horizontal="center" vertical="center" wrapText="1"/>
      <protection hidden="1"/>
    </xf>
    <xf numFmtId="0" fontId="4" fillId="3" borderId="18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Protection="1">
      <protection hidden="1"/>
    </xf>
    <xf numFmtId="164" fontId="10" fillId="7" borderId="33" xfId="1" applyNumberFormat="1" applyFont="1" applyFill="1" applyBorder="1" applyAlignment="1" applyProtection="1">
      <alignment horizontal="center" vertical="center"/>
      <protection locked="0"/>
    </xf>
    <xf numFmtId="164" fontId="10" fillId="7" borderId="19" xfId="1" applyNumberFormat="1" applyFont="1" applyFill="1" applyBorder="1" applyAlignment="1" applyProtection="1">
      <alignment horizontal="center" vertical="center"/>
      <protection locked="0"/>
    </xf>
    <xf numFmtId="164" fontId="10" fillId="7" borderId="38" xfId="1" applyNumberFormat="1" applyFont="1" applyFill="1" applyBorder="1" applyAlignment="1" applyProtection="1">
      <alignment horizontal="center" vertical="center"/>
      <protection locked="0"/>
    </xf>
    <xf numFmtId="164" fontId="10" fillId="7" borderId="39" xfId="1" applyNumberFormat="1" applyFont="1" applyFill="1" applyBorder="1" applyAlignment="1" applyProtection="1">
      <alignment horizontal="center" vertical="center"/>
      <protection locked="0"/>
    </xf>
    <xf numFmtId="164" fontId="10" fillId="7" borderId="41" xfId="1" applyNumberFormat="1" applyFont="1" applyFill="1" applyBorder="1" applyAlignment="1" applyProtection="1">
      <alignment horizontal="center" vertical="center"/>
      <protection locked="0"/>
    </xf>
    <xf numFmtId="164" fontId="10" fillId="7" borderId="22" xfId="1" applyNumberFormat="1" applyFont="1" applyFill="1" applyBorder="1" applyAlignment="1" applyProtection="1">
      <alignment horizontal="center" vertical="center"/>
      <protection locked="0"/>
    </xf>
    <xf numFmtId="164" fontId="10" fillId="7" borderId="16" xfId="1" applyNumberFormat="1" applyFont="1" applyFill="1" applyBorder="1" applyAlignment="1" applyProtection="1">
      <alignment horizontal="center" vertical="center"/>
      <protection locked="0"/>
    </xf>
    <xf numFmtId="164" fontId="10" fillId="7" borderId="45" xfId="1" applyNumberFormat="1" applyFont="1" applyFill="1" applyBorder="1" applyAlignment="1" applyProtection="1">
      <alignment horizontal="center" vertical="center"/>
      <protection locked="0"/>
    </xf>
    <xf numFmtId="164" fontId="10" fillId="7" borderId="46" xfId="1" applyNumberFormat="1" applyFont="1" applyFill="1" applyBorder="1" applyAlignment="1" applyProtection="1">
      <alignment horizontal="center" vertical="center"/>
      <protection locked="0"/>
    </xf>
    <xf numFmtId="10" fontId="4" fillId="7" borderId="53" xfId="1" applyNumberFormat="1" applyFont="1" applyFill="1" applyBorder="1" applyAlignment="1" applyProtection="1">
      <alignment horizontal="center" vertical="center"/>
      <protection locked="0"/>
    </xf>
    <xf numFmtId="164" fontId="4" fillId="7" borderId="33" xfId="1" applyNumberFormat="1" applyFont="1" applyFill="1" applyBorder="1" applyAlignment="1" applyProtection="1">
      <alignment horizontal="center" vertical="center"/>
      <protection locked="0"/>
    </xf>
    <xf numFmtId="164" fontId="4" fillId="7" borderId="19" xfId="1" applyNumberFormat="1" applyFont="1" applyFill="1" applyBorder="1" applyAlignment="1" applyProtection="1">
      <alignment horizontal="center" vertical="center"/>
      <protection locked="0"/>
    </xf>
    <xf numFmtId="164" fontId="4" fillId="7" borderId="38" xfId="1" applyNumberFormat="1" applyFont="1" applyFill="1" applyBorder="1" applyAlignment="1" applyProtection="1">
      <alignment horizontal="center" vertical="center"/>
      <protection locked="0"/>
    </xf>
    <xf numFmtId="164" fontId="4" fillId="7" borderId="39" xfId="1" applyNumberFormat="1" applyFont="1" applyFill="1" applyBorder="1" applyAlignment="1" applyProtection="1">
      <alignment horizontal="center" vertical="center"/>
      <protection locked="0"/>
    </xf>
    <xf numFmtId="164" fontId="4" fillId="7" borderId="41" xfId="1" applyNumberFormat="1" applyFont="1" applyFill="1" applyBorder="1" applyAlignment="1" applyProtection="1">
      <alignment horizontal="center" vertical="center"/>
      <protection locked="0"/>
    </xf>
    <xf numFmtId="164" fontId="4" fillId="7" borderId="22" xfId="1" applyNumberFormat="1" applyFont="1" applyFill="1" applyBorder="1" applyAlignment="1" applyProtection="1">
      <alignment horizontal="center" vertical="center"/>
      <protection locked="0"/>
    </xf>
    <xf numFmtId="164" fontId="4" fillId="7" borderId="16" xfId="1" applyNumberFormat="1" applyFont="1" applyFill="1" applyBorder="1" applyAlignment="1" applyProtection="1">
      <alignment horizontal="center" vertical="center"/>
      <protection locked="0"/>
    </xf>
    <xf numFmtId="164" fontId="4" fillId="7" borderId="45" xfId="1" applyNumberFormat="1" applyFont="1" applyFill="1" applyBorder="1" applyAlignment="1" applyProtection="1">
      <alignment horizontal="center" vertical="center"/>
      <protection locked="0"/>
    </xf>
    <xf numFmtId="164" fontId="4" fillId="7" borderId="46" xfId="1" applyNumberFormat="1" applyFont="1" applyFill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hidden="1"/>
    </xf>
    <xf numFmtId="0" fontId="2" fillId="0" borderId="152" xfId="0" applyFont="1" applyBorder="1" applyAlignment="1" applyProtection="1">
      <alignment horizontal="center" vertical="center"/>
      <protection hidden="1"/>
    </xf>
    <xf numFmtId="0" fontId="18" fillId="12" borderId="159" xfId="0" applyFont="1" applyFill="1" applyBorder="1" applyAlignment="1" applyProtection="1">
      <alignment horizontal="center" vertical="center"/>
      <protection hidden="1"/>
    </xf>
    <xf numFmtId="0" fontId="18" fillId="12" borderId="5" xfId="0" applyFont="1" applyFill="1" applyBorder="1" applyAlignment="1" applyProtection="1">
      <alignment horizontal="center" vertical="center"/>
      <protection hidden="1"/>
    </xf>
    <xf numFmtId="0" fontId="18" fillId="12" borderId="6" xfId="0" applyFont="1" applyFill="1" applyBorder="1" applyAlignment="1" applyProtection="1">
      <alignment horizontal="center" vertical="center"/>
      <protection hidden="1"/>
    </xf>
    <xf numFmtId="0" fontId="2" fillId="14" borderId="142" xfId="0" applyFont="1" applyFill="1" applyBorder="1" applyAlignment="1" applyProtection="1">
      <alignment horizontal="center" vertical="center"/>
      <protection hidden="1"/>
    </xf>
    <xf numFmtId="1" fontId="12" fillId="14" borderId="0" xfId="0" applyNumberFormat="1" applyFont="1" applyFill="1" applyAlignment="1" applyProtection="1">
      <alignment horizontal="center" vertical="center"/>
      <protection hidden="1"/>
    </xf>
    <xf numFmtId="3" fontId="2" fillId="14" borderId="0" xfId="0" applyNumberFormat="1" applyFont="1" applyFill="1" applyAlignment="1" applyProtection="1">
      <alignment horizontal="center" vertical="center"/>
      <protection hidden="1"/>
    </xf>
    <xf numFmtId="0" fontId="4" fillId="14" borderId="0" xfId="0" applyFont="1" applyFill="1" applyAlignment="1" applyProtection="1">
      <alignment horizontal="center" vertical="center"/>
      <protection hidden="1"/>
    </xf>
    <xf numFmtId="2" fontId="27" fillId="17" borderId="74" xfId="0" applyNumberFormat="1" applyFont="1" applyFill="1" applyBorder="1" applyAlignment="1" applyProtection="1">
      <alignment horizontal="center" vertical="center"/>
      <protection hidden="1"/>
    </xf>
    <xf numFmtId="2" fontId="27" fillId="18" borderId="74" xfId="0" applyNumberFormat="1" applyFont="1" applyFill="1" applyBorder="1" applyAlignment="1" applyProtection="1">
      <alignment horizontal="center" vertical="center"/>
      <protection hidden="1"/>
    </xf>
    <xf numFmtId="2" fontId="27" fillId="19" borderId="74" xfId="0" applyNumberFormat="1" applyFont="1" applyFill="1" applyBorder="1" applyAlignment="1" applyProtection="1">
      <alignment horizontal="center" vertical="center"/>
      <protection hidden="1"/>
    </xf>
    <xf numFmtId="2" fontId="27" fillId="20" borderId="74" xfId="0" applyNumberFormat="1" applyFont="1" applyFill="1" applyBorder="1" applyAlignment="1" applyProtection="1">
      <alignment horizontal="center" vertical="center"/>
      <protection hidden="1"/>
    </xf>
    <xf numFmtId="2" fontId="27" fillId="21" borderId="154" xfId="0" applyNumberFormat="1" applyFont="1" applyFill="1" applyBorder="1" applyAlignment="1" applyProtection="1">
      <alignment horizontal="center" vertical="center"/>
      <protection hidden="1"/>
    </xf>
    <xf numFmtId="0" fontId="2" fillId="14" borderId="143" xfId="0" applyFont="1" applyFill="1" applyBorder="1" applyAlignment="1" applyProtection="1">
      <alignment horizontal="center" vertical="center"/>
      <protection hidden="1"/>
    </xf>
    <xf numFmtId="2" fontId="27" fillId="22" borderId="74" xfId="0" applyNumberFormat="1" applyFont="1" applyFill="1" applyBorder="1" applyAlignment="1" applyProtection="1">
      <alignment horizontal="center" vertical="center"/>
      <protection hidden="1"/>
    </xf>
    <xf numFmtId="2" fontId="27" fillId="23" borderId="74" xfId="0" applyNumberFormat="1" applyFont="1" applyFill="1" applyBorder="1" applyAlignment="1" applyProtection="1">
      <alignment horizontal="center" vertical="center"/>
      <protection hidden="1"/>
    </xf>
    <xf numFmtId="2" fontId="27" fillId="24" borderId="74" xfId="0" applyNumberFormat="1" applyFont="1" applyFill="1" applyBorder="1" applyAlignment="1" applyProtection="1">
      <alignment horizontal="center" vertical="center"/>
      <protection hidden="1"/>
    </xf>
    <xf numFmtId="2" fontId="27" fillId="25" borderId="74" xfId="0" applyNumberFormat="1" applyFont="1" applyFill="1" applyBorder="1" applyAlignment="1" applyProtection="1">
      <alignment horizontal="center" vertical="center"/>
      <protection hidden="1"/>
    </xf>
    <xf numFmtId="2" fontId="27" fillId="26" borderId="154" xfId="0" applyNumberFormat="1" applyFont="1" applyFill="1" applyBorder="1" applyAlignment="1" applyProtection="1">
      <alignment horizontal="center" vertical="center"/>
      <protection hidden="1"/>
    </xf>
    <xf numFmtId="0" fontId="2" fillId="11" borderId="143" xfId="0" applyFont="1" applyFill="1" applyBorder="1" applyAlignment="1" applyProtection="1">
      <alignment horizontal="center" vertical="center"/>
      <protection hidden="1"/>
    </xf>
    <xf numFmtId="1" fontId="12" fillId="11" borderId="0" xfId="0" applyNumberFormat="1" applyFont="1" applyFill="1" applyAlignment="1" applyProtection="1">
      <alignment horizontal="center" vertical="center"/>
      <protection hidden="1"/>
    </xf>
    <xf numFmtId="3" fontId="2" fillId="11" borderId="0" xfId="0" applyNumberFormat="1" applyFont="1" applyFill="1" applyAlignment="1" applyProtection="1">
      <alignment horizontal="center" vertical="center"/>
      <protection hidden="1"/>
    </xf>
    <xf numFmtId="0" fontId="4" fillId="11" borderId="0" xfId="0" applyFont="1" applyFill="1" applyAlignment="1" applyProtection="1">
      <alignment horizontal="center" vertical="center"/>
      <protection hidden="1"/>
    </xf>
    <xf numFmtId="2" fontId="27" fillId="27" borderId="74" xfId="0" applyNumberFormat="1" applyFont="1" applyFill="1" applyBorder="1" applyAlignment="1" applyProtection="1">
      <alignment horizontal="center" vertical="center"/>
      <protection hidden="1"/>
    </xf>
    <xf numFmtId="2" fontId="27" fillId="28" borderId="74" xfId="0" applyNumberFormat="1" applyFont="1" applyFill="1" applyBorder="1" applyAlignment="1" applyProtection="1">
      <alignment horizontal="center" vertical="center"/>
      <protection hidden="1"/>
    </xf>
    <xf numFmtId="2" fontId="27" fillId="27" borderId="154" xfId="0" applyNumberFormat="1" applyFont="1" applyFill="1" applyBorder="1" applyAlignment="1" applyProtection="1">
      <alignment horizontal="center" vertical="center"/>
      <protection hidden="1"/>
    </xf>
    <xf numFmtId="2" fontId="27" fillId="29" borderId="74" xfId="0" applyNumberFormat="1" applyFont="1" applyFill="1" applyBorder="1" applyAlignment="1" applyProtection="1">
      <alignment horizontal="center" vertical="center"/>
      <protection hidden="1"/>
    </xf>
    <xf numFmtId="2" fontId="27" fillId="30" borderId="74" xfId="0" applyNumberFormat="1" applyFont="1" applyFill="1" applyBorder="1" applyAlignment="1" applyProtection="1">
      <alignment horizontal="center" vertical="center"/>
      <protection hidden="1"/>
    </xf>
    <xf numFmtId="2" fontId="27" fillId="31" borderId="74" xfId="0" applyNumberFormat="1" applyFont="1" applyFill="1" applyBorder="1" applyAlignment="1" applyProtection="1">
      <alignment horizontal="center" vertical="center"/>
      <protection hidden="1"/>
    </xf>
    <xf numFmtId="2" fontId="27" fillId="29" borderId="154" xfId="0" applyNumberFormat="1" applyFont="1" applyFill="1" applyBorder="1" applyAlignment="1" applyProtection="1">
      <alignment horizontal="center" vertical="center"/>
      <protection hidden="1"/>
    </xf>
    <xf numFmtId="2" fontId="27" fillId="32" borderId="74" xfId="0" applyNumberFormat="1" applyFont="1" applyFill="1" applyBorder="1" applyAlignment="1" applyProtection="1">
      <alignment horizontal="center" vertical="center"/>
      <protection hidden="1"/>
    </xf>
    <xf numFmtId="2" fontId="27" fillId="33" borderId="74" xfId="0" applyNumberFormat="1" applyFont="1" applyFill="1" applyBorder="1" applyAlignment="1" applyProtection="1">
      <alignment horizontal="center" vertical="center"/>
      <protection hidden="1"/>
    </xf>
    <xf numFmtId="2" fontId="27" fillId="34" borderId="154" xfId="0" applyNumberFormat="1" applyFont="1" applyFill="1" applyBorder="1" applyAlignment="1" applyProtection="1">
      <alignment horizontal="center" vertical="center"/>
      <protection hidden="1"/>
    </xf>
    <xf numFmtId="2" fontId="27" fillId="35" borderId="74" xfId="0" applyNumberFormat="1" applyFont="1" applyFill="1" applyBorder="1" applyAlignment="1" applyProtection="1">
      <alignment horizontal="center" vertical="center"/>
      <protection hidden="1"/>
    </xf>
    <xf numFmtId="2" fontId="27" fillId="36" borderId="74" xfId="0" applyNumberFormat="1" applyFont="1" applyFill="1" applyBorder="1" applyAlignment="1" applyProtection="1">
      <alignment horizontal="center" vertical="center"/>
      <protection hidden="1"/>
    </xf>
    <xf numFmtId="2" fontId="27" fillId="37" borderId="74" xfId="0" applyNumberFormat="1" applyFont="1" applyFill="1" applyBorder="1" applyAlignment="1" applyProtection="1">
      <alignment horizontal="center" vertical="center"/>
      <protection hidden="1"/>
    </xf>
    <xf numFmtId="2" fontId="27" fillId="38" borderId="154" xfId="0" applyNumberFormat="1" applyFont="1" applyFill="1" applyBorder="1" applyAlignment="1" applyProtection="1">
      <alignment horizontal="center" vertical="center"/>
      <protection hidden="1"/>
    </xf>
    <xf numFmtId="0" fontId="2" fillId="11" borderId="0" xfId="0" applyFont="1" applyFill="1" applyAlignment="1" applyProtection="1">
      <alignment horizontal="center" vertical="center"/>
      <protection hidden="1"/>
    </xf>
    <xf numFmtId="2" fontId="27" fillId="39" borderId="74" xfId="0" applyNumberFormat="1" applyFont="1" applyFill="1" applyBorder="1" applyAlignment="1" applyProtection="1">
      <alignment horizontal="center" vertical="center"/>
      <protection hidden="1"/>
    </xf>
    <xf numFmtId="2" fontId="27" fillId="40" borderId="74" xfId="0" applyNumberFormat="1" applyFont="1" applyFill="1" applyBorder="1" applyAlignment="1" applyProtection="1">
      <alignment horizontal="center" vertical="center"/>
      <protection hidden="1"/>
    </xf>
    <xf numFmtId="2" fontId="27" fillId="41" borderId="74" xfId="0" applyNumberFormat="1" applyFont="1" applyFill="1" applyBorder="1" applyAlignment="1" applyProtection="1">
      <alignment horizontal="center" vertical="center"/>
      <protection hidden="1"/>
    </xf>
    <xf numFmtId="2" fontId="27" fillId="42" borderId="74" xfId="0" applyNumberFormat="1" applyFont="1" applyFill="1" applyBorder="1" applyAlignment="1" applyProtection="1">
      <alignment horizontal="center" vertical="center"/>
      <protection hidden="1"/>
    </xf>
    <xf numFmtId="2" fontId="27" fillId="43" borderId="154" xfId="0" applyNumberFormat="1" applyFont="1" applyFill="1" applyBorder="1" applyAlignment="1" applyProtection="1">
      <alignment horizontal="center" vertical="center"/>
      <protection hidden="1"/>
    </xf>
    <xf numFmtId="2" fontId="27" fillId="44" borderId="74" xfId="0" applyNumberFormat="1" applyFont="1" applyFill="1" applyBorder="1" applyAlignment="1" applyProtection="1">
      <alignment horizontal="center" vertical="center"/>
      <protection hidden="1"/>
    </xf>
    <xf numFmtId="2" fontId="27" fillId="45" borderId="74" xfId="0" applyNumberFormat="1" applyFont="1" applyFill="1" applyBorder="1" applyAlignment="1" applyProtection="1">
      <alignment horizontal="center" vertical="center"/>
      <protection hidden="1"/>
    </xf>
    <xf numFmtId="2" fontId="27" fillId="46" borderId="74" xfId="0" applyNumberFormat="1" applyFont="1" applyFill="1" applyBorder="1" applyAlignment="1" applyProtection="1">
      <alignment horizontal="center" vertical="center"/>
      <protection hidden="1"/>
    </xf>
    <xf numFmtId="2" fontId="27" fillId="41" borderId="154" xfId="0" applyNumberFormat="1" applyFont="1" applyFill="1" applyBorder="1" applyAlignment="1" applyProtection="1">
      <alignment horizontal="center" vertical="center"/>
      <protection hidden="1"/>
    </xf>
    <xf numFmtId="0" fontId="2" fillId="14" borderId="0" xfId="0" applyFont="1" applyFill="1" applyAlignment="1" applyProtection="1">
      <alignment horizontal="center" vertical="center"/>
      <protection hidden="1"/>
    </xf>
    <xf numFmtId="2" fontId="27" fillId="47" borderId="74" xfId="0" applyNumberFormat="1" applyFont="1" applyFill="1" applyBorder="1" applyAlignment="1" applyProtection="1">
      <alignment horizontal="center" vertical="center"/>
      <protection hidden="1"/>
    </xf>
    <xf numFmtId="2" fontId="27" fillId="48" borderId="74" xfId="0" applyNumberFormat="1" applyFont="1" applyFill="1" applyBorder="1" applyAlignment="1" applyProtection="1">
      <alignment horizontal="center" vertical="center"/>
      <protection hidden="1"/>
    </xf>
    <xf numFmtId="2" fontId="27" fillId="49" borderId="74" xfId="0" applyNumberFormat="1" applyFont="1" applyFill="1" applyBorder="1" applyAlignment="1" applyProtection="1">
      <alignment horizontal="center" vertical="center"/>
      <protection hidden="1"/>
    </xf>
    <xf numFmtId="2" fontId="27" fillId="50" borderId="74" xfId="0" applyNumberFormat="1" applyFont="1" applyFill="1" applyBorder="1" applyAlignment="1" applyProtection="1">
      <alignment horizontal="center" vertical="center"/>
      <protection hidden="1"/>
    </xf>
    <xf numFmtId="2" fontId="27" fillId="51" borderId="154" xfId="0" applyNumberFormat="1" applyFont="1" applyFill="1" applyBorder="1" applyAlignment="1" applyProtection="1">
      <alignment horizontal="center" vertical="center"/>
      <protection hidden="1"/>
    </xf>
    <xf numFmtId="2" fontId="27" fillId="52" borderId="74" xfId="0" applyNumberFormat="1" applyFont="1" applyFill="1" applyBorder="1" applyAlignment="1" applyProtection="1">
      <alignment horizontal="center" vertical="center"/>
      <protection hidden="1"/>
    </xf>
    <xf numFmtId="2" fontId="27" fillId="53" borderId="74" xfId="0" applyNumberFormat="1" applyFont="1" applyFill="1" applyBorder="1" applyAlignment="1" applyProtection="1">
      <alignment horizontal="center" vertical="center"/>
      <protection hidden="1"/>
    </xf>
    <xf numFmtId="2" fontId="27" fillId="54" borderId="74" xfId="0" applyNumberFormat="1" applyFont="1" applyFill="1" applyBorder="1" applyAlignment="1" applyProtection="1">
      <alignment horizontal="center" vertical="center"/>
      <protection hidden="1"/>
    </xf>
    <xf numFmtId="2" fontId="27" fillId="55" borderId="154" xfId="0" applyNumberFormat="1" applyFont="1" applyFill="1" applyBorder="1" applyAlignment="1" applyProtection="1">
      <alignment horizontal="center" vertical="center"/>
      <protection hidden="1"/>
    </xf>
    <xf numFmtId="2" fontId="27" fillId="56" borderId="74" xfId="0" applyNumberFormat="1" applyFont="1" applyFill="1" applyBorder="1" applyAlignment="1" applyProtection="1">
      <alignment horizontal="center" vertical="center"/>
      <protection hidden="1"/>
    </xf>
    <xf numFmtId="2" fontId="27" fillId="57" borderId="74" xfId="0" applyNumberFormat="1" applyFont="1" applyFill="1" applyBorder="1" applyAlignment="1" applyProtection="1">
      <alignment horizontal="center" vertical="center"/>
      <protection hidden="1"/>
    </xf>
    <xf numFmtId="2" fontId="27" fillId="58" borderId="154" xfId="0" applyNumberFormat="1" applyFont="1" applyFill="1" applyBorder="1" applyAlignment="1" applyProtection="1">
      <alignment horizontal="center" vertical="center"/>
      <protection hidden="1"/>
    </xf>
    <xf numFmtId="2" fontId="27" fillId="59" borderId="74" xfId="0" applyNumberFormat="1" applyFont="1" applyFill="1" applyBorder="1" applyAlignment="1" applyProtection="1">
      <alignment horizontal="center" vertical="center"/>
      <protection hidden="1"/>
    </xf>
    <xf numFmtId="2" fontId="27" fillId="60" borderId="74" xfId="0" applyNumberFormat="1" applyFont="1" applyFill="1" applyBorder="1" applyAlignment="1" applyProtection="1">
      <alignment horizontal="center" vertical="center"/>
      <protection hidden="1"/>
    </xf>
    <xf numFmtId="2" fontId="27" fillId="61" borderId="74" xfId="0" applyNumberFormat="1" applyFont="1" applyFill="1" applyBorder="1" applyAlignment="1" applyProtection="1">
      <alignment horizontal="center" vertical="center"/>
      <protection hidden="1"/>
    </xf>
    <xf numFmtId="2" fontId="27" fillId="62" borderId="74" xfId="0" applyNumberFormat="1" applyFont="1" applyFill="1" applyBorder="1" applyAlignment="1" applyProtection="1">
      <alignment horizontal="center" vertical="center"/>
      <protection hidden="1"/>
    </xf>
    <xf numFmtId="2" fontId="27" fillId="63" borderId="154" xfId="0" applyNumberFormat="1" applyFont="1" applyFill="1" applyBorder="1" applyAlignment="1" applyProtection="1">
      <alignment horizontal="center" vertical="center"/>
      <protection hidden="1"/>
    </xf>
    <xf numFmtId="2" fontId="27" fillId="64" borderId="74" xfId="0" applyNumberFormat="1" applyFont="1" applyFill="1" applyBorder="1" applyAlignment="1" applyProtection="1">
      <alignment horizontal="center" vertical="center"/>
      <protection hidden="1"/>
    </xf>
    <xf numFmtId="2" fontId="27" fillId="65" borderId="74" xfId="0" applyNumberFormat="1" applyFont="1" applyFill="1" applyBorder="1" applyAlignment="1" applyProtection="1">
      <alignment horizontal="center" vertical="center"/>
      <protection hidden="1"/>
    </xf>
    <xf numFmtId="2" fontId="27" fillId="66" borderId="154" xfId="0" applyNumberFormat="1" applyFont="1" applyFill="1" applyBorder="1" applyAlignment="1" applyProtection="1">
      <alignment horizontal="center" vertical="center"/>
      <protection hidden="1"/>
    </xf>
    <xf numFmtId="2" fontId="27" fillId="67" borderId="74" xfId="0" applyNumberFormat="1" applyFont="1" applyFill="1" applyBorder="1" applyAlignment="1" applyProtection="1">
      <alignment horizontal="center" vertical="center"/>
      <protection hidden="1"/>
    </xf>
    <xf numFmtId="2" fontId="27" fillId="68" borderId="74" xfId="0" applyNumberFormat="1" applyFont="1" applyFill="1" applyBorder="1" applyAlignment="1" applyProtection="1">
      <alignment horizontal="center" vertical="center"/>
      <protection hidden="1"/>
    </xf>
    <xf numFmtId="2" fontId="27" fillId="69" borderId="74" xfId="0" applyNumberFormat="1" applyFont="1" applyFill="1" applyBorder="1" applyAlignment="1" applyProtection="1">
      <alignment horizontal="center" vertical="center"/>
      <protection hidden="1"/>
    </xf>
    <xf numFmtId="2" fontId="27" fillId="70" borderId="74" xfId="0" applyNumberFormat="1" applyFont="1" applyFill="1" applyBorder="1" applyAlignment="1" applyProtection="1">
      <alignment horizontal="center" vertical="center"/>
      <protection hidden="1"/>
    </xf>
    <xf numFmtId="2" fontId="27" fillId="71" borderId="154" xfId="0" applyNumberFormat="1" applyFont="1" applyFill="1" applyBorder="1" applyAlignment="1" applyProtection="1">
      <alignment horizontal="center" vertical="center"/>
      <protection hidden="1"/>
    </xf>
    <xf numFmtId="2" fontId="27" fillId="72" borderId="74" xfId="0" applyNumberFormat="1" applyFont="1" applyFill="1" applyBorder="1" applyAlignment="1" applyProtection="1">
      <alignment horizontal="center" vertical="center"/>
      <protection hidden="1"/>
    </xf>
    <xf numFmtId="2" fontId="27" fillId="73" borderId="74" xfId="0" applyNumberFormat="1" applyFont="1" applyFill="1" applyBorder="1" applyAlignment="1" applyProtection="1">
      <alignment horizontal="center" vertical="center"/>
      <protection hidden="1"/>
    </xf>
    <xf numFmtId="2" fontId="27" fillId="74" borderId="74" xfId="0" applyNumberFormat="1" applyFont="1" applyFill="1" applyBorder="1" applyAlignment="1" applyProtection="1">
      <alignment horizontal="center" vertical="center"/>
      <protection hidden="1"/>
    </xf>
    <xf numFmtId="2" fontId="27" fillId="75" borderId="154" xfId="0" applyNumberFormat="1" applyFont="1" applyFill="1" applyBorder="1" applyAlignment="1" applyProtection="1">
      <alignment horizontal="center" vertical="center"/>
      <protection hidden="1"/>
    </xf>
    <xf numFmtId="2" fontId="27" fillId="63" borderId="74" xfId="0" applyNumberFormat="1" applyFont="1" applyFill="1" applyBorder="1" applyAlignment="1" applyProtection="1">
      <alignment horizontal="center" vertical="center"/>
      <protection hidden="1"/>
    </xf>
    <xf numFmtId="2" fontId="27" fillId="76" borderId="74" xfId="0" applyNumberFormat="1" applyFont="1" applyFill="1" applyBorder="1" applyAlignment="1" applyProtection="1">
      <alignment horizontal="center" vertical="center"/>
      <protection hidden="1"/>
    </xf>
    <xf numFmtId="2" fontId="27" fillId="61" borderId="154" xfId="0" applyNumberFormat="1" applyFont="1" applyFill="1" applyBorder="1" applyAlignment="1" applyProtection="1">
      <alignment horizontal="center" vertical="center"/>
      <protection hidden="1"/>
    </xf>
    <xf numFmtId="2" fontId="27" fillId="77" borderId="74" xfId="0" applyNumberFormat="1" applyFont="1" applyFill="1" applyBorder="1" applyAlignment="1" applyProtection="1">
      <alignment horizontal="center" vertical="center"/>
      <protection hidden="1"/>
    </xf>
    <xf numFmtId="2" fontId="27" fillId="78" borderId="74" xfId="0" applyNumberFormat="1" applyFont="1" applyFill="1" applyBorder="1" applyAlignment="1" applyProtection="1">
      <alignment horizontal="center" vertical="center"/>
      <protection hidden="1"/>
    </xf>
    <xf numFmtId="2" fontId="27" fillId="79" borderId="74" xfId="0" applyNumberFormat="1" applyFont="1" applyFill="1" applyBorder="1" applyAlignment="1" applyProtection="1">
      <alignment horizontal="center" vertical="center"/>
      <protection hidden="1"/>
    </xf>
    <xf numFmtId="2" fontId="27" fillId="80" borderId="74" xfId="0" applyNumberFormat="1" applyFont="1" applyFill="1" applyBorder="1" applyAlignment="1" applyProtection="1">
      <alignment horizontal="center" vertical="center"/>
      <protection hidden="1"/>
    </xf>
    <xf numFmtId="2" fontId="27" fillId="81" borderId="154" xfId="0" applyNumberFormat="1" applyFont="1" applyFill="1" applyBorder="1" applyAlignment="1" applyProtection="1">
      <alignment horizontal="center" vertical="center"/>
      <protection hidden="1"/>
    </xf>
    <xf numFmtId="2" fontId="27" fillId="82" borderId="74" xfId="0" applyNumberFormat="1" applyFont="1" applyFill="1" applyBorder="1" applyAlignment="1" applyProtection="1">
      <alignment horizontal="center" vertical="center"/>
      <protection hidden="1"/>
    </xf>
    <xf numFmtId="2" fontId="27" fillId="75" borderId="74" xfId="0" applyNumberFormat="1" applyFont="1" applyFill="1" applyBorder="1" applyAlignment="1" applyProtection="1">
      <alignment horizontal="center" vertical="center"/>
      <protection hidden="1"/>
    </xf>
    <xf numFmtId="2" fontId="27" fillId="83" borderId="74" xfId="0" applyNumberFormat="1" applyFont="1" applyFill="1" applyBorder="1" applyAlignment="1" applyProtection="1">
      <alignment horizontal="center" vertical="center"/>
      <protection hidden="1"/>
    </xf>
    <xf numFmtId="2" fontId="27" fillId="26" borderId="74" xfId="0" applyNumberFormat="1" applyFont="1" applyFill="1" applyBorder="1" applyAlignment="1" applyProtection="1">
      <alignment horizontal="center" vertical="center"/>
      <protection hidden="1"/>
    </xf>
    <xf numFmtId="2" fontId="27" fillId="84" borderId="74" xfId="0" applyNumberFormat="1" applyFont="1" applyFill="1" applyBorder="1" applyAlignment="1" applyProtection="1">
      <alignment horizontal="center" vertical="center"/>
      <protection hidden="1"/>
    </xf>
    <xf numFmtId="2" fontId="27" fillId="85" borderId="74" xfId="0" applyNumberFormat="1" applyFont="1" applyFill="1" applyBorder="1" applyAlignment="1" applyProtection="1">
      <alignment horizontal="center" vertical="center"/>
      <protection hidden="1"/>
    </xf>
    <xf numFmtId="2" fontId="27" fillId="86" borderId="154" xfId="0" applyNumberFormat="1" applyFont="1" applyFill="1" applyBorder="1" applyAlignment="1" applyProtection="1">
      <alignment horizontal="center" vertical="center"/>
      <protection hidden="1"/>
    </xf>
    <xf numFmtId="2" fontId="27" fillId="87" borderId="74" xfId="0" applyNumberFormat="1" applyFont="1" applyFill="1" applyBorder="1" applyAlignment="1" applyProtection="1">
      <alignment horizontal="center" vertical="center"/>
      <protection hidden="1"/>
    </xf>
    <xf numFmtId="2" fontId="27" fillId="88" borderId="74" xfId="0" applyNumberFormat="1" applyFont="1" applyFill="1" applyBorder="1" applyAlignment="1" applyProtection="1">
      <alignment horizontal="center" vertical="center"/>
      <protection hidden="1"/>
    </xf>
    <xf numFmtId="2" fontId="27" fillId="89" borderId="74" xfId="0" applyNumberFormat="1" applyFont="1" applyFill="1" applyBorder="1" applyAlignment="1" applyProtection="1">
      <alignment horizontal="center" vertical="center"/>
      <protection hidden="1"/>
    </xf>
    <xf numFmtId="2" fontId="27" fillId="90" borderId="154" xfId="0" applyNumberFormat="1" applyFont="1" applyFill="1" applyBorder="1" applyAlignment="1" applyProtection="1">
      <alignment horizontal="center" vertical="center"/>
      <protection hidden="1"/>
    </xf>
    <xf numFmtId="2" fontId="27" fillId="91" borderId="74" xfId="0" applyNumberFormat="1" applyFont="1" applyFill="1" applyBorder="1" applyAlignment="1" applyProtection="1">
      <alignment horizontal="center" vertical="center"/>
      <protection hidden="1"/>
    </xf>
    <xf numFmtId="2" fontId="27" fillId="92" borderId="154" xfId="0" applyNumberFormat="1" applyFont="1" applyFill="1" applyBorder="1" applyAlignment="1" applyProtection="1">
      <alignment horizontal="center" vertical="center"/>
      <protection hidden="1"/>
    </xf>
    <xf numFmtId="2" fontId="27" fillId="93" borderId="74" xfId="0" applyNumberFormat="1" applyFont="1" applyFill="1" applyBorder="1" applyAlignment="1" applyProtection="1">
      <alignment horizontal="center" vertical="center"/>
      <protection hidden="1"/>
    </xf>
    <xf numFmtId="2" fontId="27" fillId="94" borderId="74" xfId="0" applyNumberFormat="1" applyFont="1" applyFill="1" applyBorder="1" applyAlignment="1" applyProtection="1">
      <alignment horizontal="center" vertical="center"/>
      <protection hidden="1"/>
    </xf>
    <xf numFmtId="2" fontId="27" fillId="95" borderId="74" xfId="0" applyNumberFormat="1" applyFont="1" applyFill="1" applyBorder="1" applyAlignment="1" applyProtection="1">
      <alignment horizontal="center" vertical="center"/>
      <protection hidden="1"/>
    </xf>
    <xf numFmtId="2" fontId="27" fillId="96" borderId="154" xfId="0" applyNumberFormat="1" applyFont="1" applyFill="1" applyBorder="1" applyAlignment="1" applyProtection="1">
      <alignment horizontal="center" vertical="center"/>
      <protection hidden="1"/>
    </xf>
    <xf numFmtId="2" fontId="27" fillId="97" borderId="74" xfId="0" applyNumberFormat="1" applyFont="1" applyFill="1" applyBorder="1" applyAlignment="1" applyProtection="1">
      <alignment horizontal="center" vertical="center"/>
      <protection hidden="1"/>
    </xf>
    <xf numFmtId="2" fontId="27" fillId="98" borderId="74" xfId="0" applyNumberFormat="1" applyFont="1" applyFill="1" applyBorder="1" applyAlignment="1" applyProtection="1">
      <alignment horizontal="center" vertical="center"/>
      <protection hidden="1"/>
    </xf>
    <xf numFmtId="2" fontId="27" fillId="99" borderId="74" xfId="0" applyNumberFormat="1" applyFont="1" applyFill="1" applyBorder="1" applyAlignment="1" applyProtection="1">
      <alignment horizontal="center" vertical="center"/>
      <protection hidden="1"/>
    </xf>
    <xf numFmtId="2" fontId="27" fillId="78" borderId="154" xfId="0" applyNumberFormat="1" applyFont="1" applyFill="1" applyBorder="1" applyAlignment="1" applyProtection="1">
      <alignment horizontal="center" vertical="center"/>
      <protection hidden="1"/>
    </xf>
    <xf numFmtId="3" fontId="2" fillId="11" borderId="72" xfId="0" applyNumberFormat="1" applyFont="1" applyFill="1" applyBorder="1" applyAlignment="1" applyProtection="1">
      <alignment horizontal="center" vertical="center"/>
      <protection hidden="1"/>
    </xf>
    <xf numFmtId="2" fontId="27" fillId="66" borderId="161" xfId="0" applyNumberFormat="1" applyFont="1" applyFill="1" applyBorder="1" applyAlignment="1" applyProtection="1">
      <alignment horizontal="center" vertical="center"/>
      <protection hidden="1"/>
    </xf>
    <xf numFmtId="2" fontId="27" fillId="100" borderId="155" xfId="0" applyNumberFormat="1" applyFont="1" applyFill="1" applyBorder="1" applyAlignment="1" applyProtection="1">
      <alignment horizontal="center" vertical="center"/>
      <protection hidden="1"/>
    </xf>
    <xf numFmtId="2" fontId="27" fillId="101" borderId="155" xfId="0" applyNumberFormat="1" applyFont="1" applyFill="1" applyBorder="1" applyAlignment="1" applyProtection="1">
      <alignment horizontal="center" vertical="center"/>
      <protection hidden="1"/>
    </xf>
    <xf numFmtId="2" fontId="27" fillId="52" borderId="158" xfId="0" applyNumberFormat="1" applyFont="1" applyFill="1" applyBorder="1" applyAlignment="1" applyProtection="1">
      <alignment horizontal="center" vertical="center"/>
      <protection hidden="1"/>
    </xf>
    <xf numFmtId="0" fontId="21" fillId="14" borderId="160" xfId="0" applyFont="1" applyFill="1" applyBorder="1" applyAlignment="1" applyProtection="1">
      <alignment horizontal="center" vertical="center"/>
      <protection hidden="1"/>
    </xf>
    <xf numFmtId="1" fontId="12" fillId="14" borderId="2" xfId="0" applyNumberFormat="1" applyFont="1" applyFill="1" applyBorder="1" applyAlignment="1" applyProtection="1">
      <alignment horizontal="center" vertical="center"/>
      <protection hidden="1"/>
    </xf>
    <xf numFmtId="0" fontId="4" fillId="14" borderId="168" xfId="0" applyFont="1" applyFill="1" applyBorder="1" applyAlignment="1" applyProtection="1">
      <alignment horizontal="center" vertical="center"/>
      <protection hidden="1"/>
    </xf>
    <xf numFmtId="2" fontId="27" fillId="102" borderId="162" xfId="0" applyNumberFormat="1" applyFont="1" applyFill="1" applyBorder="1" applyAlignment="1" applyProtection="1">
      <alignment horizontal="center" vertical="center"/>
      <protection hidden="1"/>
    </xf>
    <xf numFmtId="2" fontId="27" fillId="103" borderId="162" xfId="0" applyNumberFormat="1" applyFont="1" applyFill="1" applyBorder="1" applyAlignment="1" applyProtection="1">
      <alignment horizontal="center" vertical="center"/>
      <protection hidden="1"/>
    </xf>
    <xf numFmtId="2" fontId="27" fillId="104" borderId="163" xfId="0" applyNumberFormat="1" applyFont="1" applyFill="1" applyBorder="1" applyAlignment="1" applyProtection="1">
      <alignment horizontal="center" vertical="center"/>
      <protection hidden="1"/>
    </xf>
    <xf numFmtId="2" fontId="27" fillId="56" borderId="163" xfId="0" applyNumberFormat="1" applyFont="1" applyFill="1" applyBorder="1" applyAlignment="1" applyProtection="1">
      <alignment horizontal="center" vertical="center"/>
      <protection hidden="1"/>
    </xf>
    <xf numFmtId="2" fontId="27" fillId="105" borderId="164" xfId="0" applyNumberFormat="1" applyFont="1" applyFill="1" applyBorder="1" applyAlignment="1" applyProtection="1">
      <alignment horizontal="center" vertical="center"/>
      <protection hidden="1"/>
    </xf>
    <xf numFmtId="0" fontId="21" fillId="14" borderId="144" xfId="0" applyFont="1" applyFill="1" applyBorder="1" applyAlignment="1" applyProtection="1">
      <alignment horizontal="center" vertical="center"/>
      <protection hidden="1"/>
    </xf>
    <xf numFmtId="2" fontId="27" fillId="106" borderId="74" xfId="0" applyNumberFormat="1" applyFont="1" applyFill="1" applyBorder="1" applyAlignment="1" applyProtection="1">
      <alignment horizontal="center" vertical="center"/>
      <protection hidden="1"/>
    </xf>
    <xf numFmtId="2" fontId="27" fillId="107" borderId="74" xfId="0" applyNumberFormat="1" applyFont="1" applyFill="1" applyBorder="1" applyAlignment="1" applyProtection="1">
      <alignment horizontal="center" vertical="center"/>
      <protection hidden="1"/>
    </xf>
    <xf numFmtId="2" fontId="27" fillId="108" borderId="74" xfId="0" applyNumberFormat="1" applyFont="1" applyFill="1" applyBorder="1" applyAlignment="1" applyProtection="1">
      <alignment horizontal="center" vertical="center"/>
      <protection hidden="1"/>
    </xf>
    <xf numFmtId="2" fontId="27" fillId="74" borderId="154" xfId="0" applyNumberFormat="1" applyFont="1" applyFill="1" applyBorder="1" applyAlignment="1" applyProtection="1">
      <alignment horizontal="center" vertical="center"/>
      <protection hidden="1"/>
    </xf>
    <xf numFmtId="0" fontId="21" fillId="11" borderId="145" xfId="0" applyFont="1" applyFill="1" applyBorder="1" applyAlignment="1" applyProtection="1">
      <alignment horizontal="center" vertical="center"/>
      <protection hidden="1"/>
    </xf>
    <xf numFmtId="2" fontId="27" fillId="109" borderId="74" xfId="0" applyNumberFormat="1" applyFont="1" applyFill="1" applyBorder="1" applyAlignment="1" applyProtection="1">
      <alignment horizontal="center" vertical="center"/>
      <protection hidden="1"/>
    </xf>
    <xf numFmtId="2" fontId="27" fillId="110" borderId="74" xfId="0" applyNumberFormat="1" applyFont="1" applyFill="1" applyBorder="1" applyAlignment="1" applyProtection="1">
      <alignment horizontal="center" vertical="center"/>
      <protection hidden="1"/>
    </xf>
    <xf numFmtId="2" fontId="27" fillId="111" borderId="74" xfId="0" applyNumberFormat="1" applyFont="1" applyFill="1" applyBorder="1" applyAlignment="1" applyProtection="1">
      <alignment horizontal="center" vertical="center"/>
      <protection hidden="1"/>
    </xf>
    <xf numFmtId="2" fontId="27" fillId="105" borderId="74" xfId="0" applyNumberFormat="1" applyFont="1" applyFill="1" applyBorder="1" applyAlignment="1" applyProtection="1">
      <alignment horizontal="center" vertical="center"/>
      <protection hidden="1"/>
    </xf>
    <xf numFmtId="2" fontId="27" fillId="105" borderId="154" xfId="0" applyNumberFormat="1" applyFont="1" applyFill="1" applyBorder="1" applyAlignment="1" applyProtection="1">
      <alignment horizontal="center" vertical="center"/>
      <protection hidden="1"/>
    </xf>
    <xf numFmtId="2" fontId="27" fillId="112" borderId="74" xfId="0" applyNumberFormat="1" applyFont="1" applyFill="1" applyBorder="1" applyAlignment="1" applyProtection="1">
      <alignment horizontal="center" vertical="center"/>
      <protection hidden="1"/>
    </xf>
    <xf numFmtId="2" fontId="27" fillId="55" borderId="74" xfId="0" applyNumberFormat="1" applyFont="1" applyFill="1" applyBorder="1" applyAlignment="1" applyProtection="1">
      <alignment horizontal="center" vertical="center"/>
      <protection hidden="1"/>
    </xf>
    <xf numFmtId="2" fontId="27" fillId="113" borderId="154" xfId="0" applyNumberFormat="1" applyFont="1" applyFill="1" applyBorder="1" applyAlignment="1" applyProtection="1">
      <alignment horizontal="center" vertical="center"/>
      <protection hidden="1"/>
    </xf>
    <xf numFmtId="0" fontId="21" fillId="14" borderId="145" xfId="0" applyFont="1" applyFill="1" applyBorder="1" applyAlignment="1" applyProtection="1">
      <alignment horizontal="center" vertical="center"/>
      <protection hidden="1"/>
    </xf>
    <xf numFmtId="2" fontId="27" fillId="114" borderId="74" xfId="0" applyNumberFormat="1" applyFont="1" applyFill="1" applyBorder="1" applyAlignment="1" applyProtection="1">
      <alignment horizontal="center" vertical="center"/>
      <protection hidden="1"/>
    </xf>
    <xf numFmtId="2" fontId="27" fillId="115" borderId="154" xfId="0" applyNumberFormat="1" applyFont="1" applyFill="1" applyBorder="1" applyAlignment="1" applyProtection="1">
      <alignment horizontal="center" vertical="center"/>
      <protection hidden="1"/>
    </xf>
    <xf numFmtId="2" fontId="27" fillId="116" borderId="74" xfId="0" applyNumberFormat="1" applyFont="1" applyFill="1" applyBorder="1" applyAlignment="1" applyProtection="1">
      <alignment horizontal="center" vertical="center"/>
      <protection hidden="1"/>
    </xf>
    <xf numFmtId="2" fontId="27" fillId="104" borderId="74" xfId="0" applyNumberFormat="1" applyFont="1" applyFill="1" applyBorder="1" applyAlignment="1" applyProtection="1">
      <alignment horizontal="center" vertical="center"/>
      <protection hidden="1"/>
    </xf>
    <xf numFmtId="2" fontId="27" fillId="39" borderId="154" xfId="0" applyNumberFormat="1" applyFont="1" applyFill="1" applyBorder="1" applyAlignment="1" applyProtection="1">
      <alignment horizontal="center" vertical="center"/>
      <protection hidden="1"/>
    </xf>
    <xf numFmtId="2" fontId="27" fillId="104" borderId="154" xfId="0" applyNumberFormat="1" applyFont="1" applyFill="1" applyBorder="1" applyAlignment="1" applyProtection="1">
      <alignment horizontal="center" vertical="center"/>
      <protection hidden="1"/>
    </xf>
    <xf numFmtId="2" fontId="27" fillId="117" borderId="74" xfId="0" applyNumberFormat="1" applyFont="1" applyFill="1" applyBorder="1" applyAlignment="1" applyProtection="1">
      <alignment horizontal="center" vertical="center"/>
      <protection hidden="1"/>
    </xf>
    <xf numFmtId="2" fontId="27" fillId="118" borderId="154" xfId="0" applyNumberFormat="1" applyFont="1" applyFill="1" applyBorder="1" applyAlignment="1" applyProtection="1">
      <alignment horizontal="center" vertical="center"/>
      <protection hidden="1"/>
    </xf>
    <xf numFmtId="2" fontId="27" fillId="119" borderId="74" xfId="0" applyNumberFormat="1" applyFont="1" applyFill="1" applyBorder="1" applyAlignment="1" applyProtection="1">
      <alignment horizontal="center" vertical="center"/>
      <protection hidden="1"/>
    </xf>
    <xf numFmtId="2" fontId="27" fillId="120" borderId="74" xfId="0" applyNumberFormat="1" applyFont="1" applyFill="1" applyBorder="1" applyAlignment="1" applyProtection="1">
      <alignment horizontal="center" vertical="center"/>
      <protection hidden="1"/>
    </xf>
    <xf numFmtId="2" fontId="27" fillId="121" borderId="74" xfId="0" applyNumberFormat="1" applyFont="1" applyFill="1" applyBorder="1" applyAlignment="1" applyProtection="1">
      <alignment horizontal="center" vertical="center"/>
      <protection hidden="1"/>
    </xf>
    <xf numFmtId="2" fontId="27" fillId="122" borderId="74" xfId="0" applyNumberFormat="1" applyFont="1" applyFill="1" applyBorder="1" applyAlignment="1" applyProtection="1">
      <alignment horizontal="center" vertical="center"/>
      <protection hidden="1"/>
    </xf>
    <xf numFmtId="2" fontId="27" fillId="123" borderId="74" xfId="0" applyNumberFormat="1" applyFont="1" applyFill="1" applyBorder="1" applyAlignment="1" applyProtection="1">
      <alignment horizontal="center" vertical="center"/>
      <protection hidden="1"/>
    </xf>
    <xf numFmtId="2" fontId="27" fillId="124" borderId="74" xfId="0" applyNumberFormat="1" applyFont="1" applyFill="1" applyBorder="1" applyAlignment="1" applyProtection="1">
      <alignment horizontal="center" vertical="center"/>
      <protection hidden="1"/>
    </xf>
    <xf numFmtId="2" fontId="27" fillId="125" borderId="154" xfId="0" applyNumberFormat="1" applyFont="1" applyFill="1" applyBorder="1" applyAlignment="1" applyProtection="1">
      <alignment horizontal="center" vertical="center"/>
      <protection hidden="1"/>
    </xf>
    <xf numFmtId="2" fontId="27" fillId="126" borderId="74" xfId="0" applyNumberFormat="1" applyFont="1" applyFill="1" applyBorder="1" applyAlignment="1" applyProtection="1">
      <alignment horizontal="center" vertical="center"/>
      <protection hidden="1"/>
    </xf>
    <xf numFmtId="2" fontId="27" fillId="127" borderId="154" xfId="0" applyNumberFormat="1" applyFont="1" applyFill="1" applyBorder="1" applyAlignment="1" applyProtection="1">
      <alignment horizontal="center" vertical="center"/>
      <protection hidden="1"/>
    </xf>
    <xf numFmtId="2" fontId="27" fillId="128" borderId="74" xfId="0" applyNumberFormat="1" applyFont="1" applyFill="1" applyBorder="1" applyAlignment="1" applyProtection="1">
      <alignment horizontal="center" vertical="center"/>
      <protection hidden="1"/>
    </xf>
    <xf numFmtId="2" fontId="27" fillId="129" borderId="74" xfId="0" applyNumberFormat="1" applyFont="1" applyFill="1" applyBorder="1" applyAlignment="1" applyProtection="1">
      <alignment horizontal="center" vertical="center"/>
      <protection hidden="1"/>
    </xf>
    <xf numFmtId="2" fontId="27" fillId="130" borderId="74" xfId="0" applyNumberFormat="1" applyFont="1" applyFill="1" applyBorder="1" applyAlignment="1" applyProtection="1">
      <alignment horizontal="center" vertical="center"/>
      <protection hidden="1"/>
    </xf>
    <xf numFmtId="2" fontId="27" fillId="131" borderId="154" xfId="0" applyNumberFormat="1" applyFont="1" applyFill="1" applyBorder="1" applyAlignment="1" applyProtection="1">
      <alignment horizontal="center" vertical="center"/>
      <protection hidden="1"/>
    </xf>
    <xf numFmtId="2" fontId="27" fillId="132" borderId="74" xfId="0" applyNumberFormat="1" applyFont="1" applyFill="1" applyBorder="1" applyAlignment="1" applyProtection="1">
      <alignment horizontal="center" vertical="center"/>
      <protection hidden="1"/>
    </xf>
    <xf numFmtId="2" fontId="27" fillId="133" borderId="74" xfId="0" applyNumberFormat="1" applyFont="1" applyFill="1" applyBorder="1" applyAlignment="1" applyProtection="1">
      <alignment horizontal="center" vertical="center"/>
      <protection hidden="1"/>
    </xf>
    <xf numFmtId="2" fontId="27" fillId="134" borderId="154" xfId="0" applyNumberFormat="1" applyFont="1" applyFill="1" applyBorder="1" applyAlignment="1" applyProtection="1">
      <alignment horizontal="center" vertical="center"/>
      <protection hidden="1"/>
    </xf>
    <xf numFmtId="2" fontId="27" fillId="135" borderId="74" xfId="0" applyNumberFormat="1" applyFont="1" applyFill="1" applyBorder="1" applyAlignment="1" applyProtection="1">
      <alignment horizontal="center" vertical="center"/>
      <protection hidden="1"/>
    </xf>
    <xf numFmtId="2" fontId="27" fillId="136" borderId="74" xfId="0" applyNumberFormat="1" applyFont="1" applyFill="1" applyBorder="1" applyAlignment="1" applyProtection="1">
      <alignment horizontal="center" vertical="center"/>
      <protection hidden="1"/>
    </xf>
    <xf numFmtId="2" fontId="27" fillId="130" borderId="154" xfId="0" applyNumberFormat="1" applyFont="1" applyFill="1" applyBorder="1" applyAlignment="1" applyProtection="1">
      <alignment horizontal="center" vertical="center"/>
      <protection hidden="1"/>
    </xf>
    <xf numFmtId="2" fontId="27" fillId="137" borderId="74" xfId="0" applyNumberFormat="1" applyFont="1" applyFill="1" applyBorder="1" applyAlignment="1" applyProtection="1">
      <alignment horizontal="center" vertical="center"/>
      <protection hidden="1"/>
    </xf>
    <xf numFmtId="2" fontId="27" fillId="138" borderId="74" xfId="0" applyNumberFormat="1" applyFont="1" applyFill="1" applyBorder="1" applyAlignment="1" applyProtection="1">
      <alignment horizontal="center" vertical="center"/>
      <protection hidden="1"/>
    </xf>
    <xf numFmtId="2" fontId="27" fillId="139" borderId="74" xfId="0" applyNumberFormat="1" applyFont="1" applyFill="1" applyBorder="1" applyAlignment="1" applyProtection="1">
      <alignment horizontal="center" vertical="center"/>
      <protection hidden="1"/>
    </xf>
    <xf numFmtId="2" fontId="27" fillId="140" borderId="74" xfId="0" applyNumberFormat="1" applyFont="1" applyFill="1" applyBorder="1" applyAlignment="1" applyProtection="1">
      <alignment horizontal="center" vertical="center"/>
      <protection hidden="1"/>
    </xf>
    <xf numFmtId="2" fontId="27" fillId="141" borderId="74" xfId="0" applyNumberFormat="1" applyFont="1" applyFill="1" applyBorder="1" applyAlignment="1" applyProtection="1">
      <alignment horizontal="center" vertical="center"/>
      <protection hidden="1"/>
    </xf>
    <xf numFmtId="2" fontId="27" fillId="20" borderId="154" xfId="0" applyNumberFormat="1" applyFont="1" applyFill="1" applyBorder="1" applyAlignment="1" applyProtection="1">
      <alignment horizontal="center" vertical="center"/>
      <protection hidden="1"/>
    </xf>
    <xf numFmtId="2" fontId="27" fillId="96" borderId="74" xfId="0" applyNumberFormat="1" applyFont="1" applyFill="1" applyBorder="1" applyAlignment="1" applyProtection="1">
      <alignment horizontal="center" vertical="center"/>
      <protection hidden="1"/>
    </xf>
    <xf numFmtId="2" fontId="27" fillId="142" borderId="154" xfId="0" applyNumberFormat="1" applyFont="1" applyFill="1" applyBorder="1" applyAlignment="1" applyProtection="1">
      <alignment horizontal="center" vertical="center"/>
      <protection hidden="1"/>
    </xf>
    <xf numFmtId="2" fontId="27" fillId="143" borderId="74" xfId="0" applyNumberFormat="1" applyFont="1" applyFill="1" applyBorder="1" applyAlignment="1" applyProtection="1">
      <alignment horizontal="center" vertical="center"/>
      <protection hidden="1"/>
    </xf>
    <xf numFmtId="2" fontId="27" fillId="144" borderId="74" xfId="0" applyNumberFormat="1" applyFont="1" applyFill="1" applyBorder="1" applyAlignment="1" applyProtection="1">
      <alignment horizontal="center" vertical="center"/>
      <protection hidden="1"/>
    </xf>
    <xf numFmtId="2" fontId="21" fillId="145" borderId="74" xfId="0" applyNumberFormat="1" applyFont="1" applyFill="1" applyBorder="1" applyAlignment="1" applyProtection="1">
      <alignment horizontal="center" vertical="center"/>
      <protection hidden="1"/>
    </xf>
    <xf numFmtId="2" fontId="27" fillId="146" borderId="74" xfId="0" applyNumberFormat="1" applyFont="1" applyFill="1" applyBorder="1" applyAlignment="1" applyProtection="1">
      <alignment horizontal="center" vertical="center"/>
      <protection hidden="1"/>
    </xf>
    <xf numFmtId="2" fontId="27" fillId="142" borderId="74" xfId="0" applyNumberFormat="1" applyFont="1" applyFill="1" applyBorder="1" applyAlignment="1" applyProtection="1">
      <alignment horizontal="center" vertical="center"/>
      <protection hidden="1"/>
    </xf>
    <xf numFmtId="2" fontId="27" fillId="147" borderId="74" xfId="0" applyNumberFormat="1" applyFont="1" applyFill="1" applyBorder="1" applyAlignment="1" applyProtection="1">
      <alignment horizontal="center" vertical="center"/>
      <protection hidden="1"/>
    </xf>
    <xf numFmtId="2" fontId="27" fillId="145" borderId="74" xfId="0" applyNumberFormat="1" applyFont="1" applyFill="1" applyBorder="1" applyAlignment="1" applyProtection="1">
      <alignment horizontal="center" vertical="center"/>
      <protection hidden="1"/>
    </xf>
    <xf numFmtId="2" fontId="27" fillId="145" borderId="154" xfId="0" applyNumberFormat="1" applyFont="1" applyFill="1" applyBorder="1" applyAlignment="1" applyProtection="1">
      <alignment horizontal="center" vertical="center"/>
      <protection hidden="1"/>
    </xf>
    <xf numFmtId="2" fontId="27" fillId="148" borderId="74" xfId="0" applyNumberFormat="1" applyFont="1" applyFill="1" applyBorder="1" applyAlignment="1" applyProtection="1">
      <alignment horizontal="center" vertical="center"/>
      <protection hidden="1"/>
    </xf>
    <xf numFmtId="2" fontId="27" fillId="118" borderId="74" xfId="0" applyNumberFormat="1" applyFont="1" applyFill="1" applyBorder="1" applyAlignment="1" applyProtection="1">
      <alignment horizontal="center" vertical="center"/>
      <protection hidden="1"/>
    </xf>
    <xf numFmtId="0" fontId="21" fillId="14" borderId="146" xfId="0" applyFont="1" applyFill="1" applyBorder="1" applyAlignment="1" applyProtection="1">
      <alignment horizontal="center" vertical="center"/>
      <protection hidden="1"/>
    </xf>
    <xf numFmtId="0" fontId="12" fillId="14" borderId="0" xfId="0" applyFont="1" applyFill="1" applyAlignment="1" applyProtection="1">
      <alignment horizontal="center" vertical="center"/>
      <protection hidden="1"/>
    </xf>
    <xf numFmtId="0" fontId="21" fillId="14" borderId="156" xfId="0" applyFont="1" applyFill="1" applyBorder="1" applyAlignment="1" applyProtection="1">
      <alignment horizontal="center" vertical="center"/>
      <protection hidden="1"/>
    </xf>
    <xf numFmtId="0" fontId="12" fillId="14" borderId="3" xfId="0" applyFont="1" applyFill="1" applyBorder="1" applyAlignment="1" applyProtection="1">
      <alignment horizontal="center" vertical="center"/>
      <protection hidden="1"/>
    </xf>
    <xf numFmtId="3" fontId="2" fillId="14" borderId="3" xfId="0" applyNumberFormat="1" applyFont="1" applyFill="1" applyBorder="1" applyAlignment="1" applyProtection="1">
      <alignment horizontal="center" vertical="center"/>
      <protection hidden="1"/>
    </xf>
    <xf numFmtId="2" fontId="27" fillId="27" borderId="155" xfId="0" applyNumberFormat="1" applyFont="1" applyFill="1" applyBorder="1" applyAlignment="1" applyProtection="1">
      <alignment horizontal="center" vertical="center"/>
      <protection hidden="1"/>
    </xf>
    <xf numFmtId="2" fontId="27" fillId="27" borderId="157" xfId="0" applyNumberFormat="1" applyFont="1" applyFill="1" applyBorder="1" applyAlignment="1" applyProtection="1">
      <alignment horizontal="center" vertical="center"/>
      <protection hidden="1"/>
    </xf>
    <xf numFmtId="2" fontId="27" fillId="74" borderId="155" xfId="0" applyNumberFormat="1" applyFont="1" applyFill="1" applyBorder="1" applyAlignment="1" applyProtection="1">
      <alignment horizontal="center" vertical="center"/>
      <protection hidden="1"/>
    </xf>
    <xf numFmtId="2" fontId="27" fillId="27" borderId="165" xfId="0" applyNumberFormat="1" applyFont="1" applyFill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2" fontId="2" fillId="0" borderId="0" xfId="0" applyNumberFormat="1" applyFont="1" applyAlignment="1" applyProtection="1">
      <alignment horizontal="center" vertical="center"/>
      <protection hidden="1"/>
    </xf>
    <xf numFmtId="2" fontId="2" fillId="0" borderId="5" xfId="0" applyNumberFormat="1" applyFont="1" applyBorder="1" applyAlignment="1" applyProtection="1">
      <alignment horizontal="center" vertical="center"/>
      <protection hidden="1"/>
    </xf>
    <xf numFmtId="2" fontId="2" fillId="0" borderId="152" xfId="0" applyNumberFormat="1" applyFont="1" applyBorder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30" fillId="12" borderId="90" xfId="0" applyFont="1" applyFill="1" applyBorder="1" applyAlignment="1" applyProtection="1">
      <alignment horizontal="center" vertical="center" wrapText="1"/>
      <protection hidden="1"/>
    </xf>
    <xf numFmtId="0" fontId="30" fillId="12" borderId="92" xfId="0" applyFont="1" applyFill="1" applyBorder="1" applyAlignment="1" applyProtection="1">
      <alignment horizontal="center" vertical="center" wrapText="1"/>
      <protection hidden="1"/>
    </xf>
    <xf numFmtId="1" fontId="22" fillId="3" borderId="32" xfId="0" applyNumberFormat="1" applyFont="1" applyFill="1" applyBorder="1" applyAlignment="1" applyProtection="1">
      <alignment horizontal="center" vertical="center"/>
      <protection hidden="1"/>
    </xf>
    <xf numFmtId="0" fontId="23" fillId="5" borderId="19" xfId="0" applyFont="1" applyFill="1" applyBorder="1" applyAlignment="1" applyProtection="1">
      <alignment horizontal="center" vertical="center"/>
      <protection hidden="1"/>
    </xf>
    <xf numFmtId="0" fontId="26" fillId="5" borderId="19" xfId="0" applyFont="1" applyFill="1" applyBorder="1" applyAlignment="1" applyProtection="1">
      <alignment horizontal="center" vertical="center"/>
      <protection hidden="1"/>
    </xf>
    <xf numFmtId="1" fontId="24" fillId="5" borderId="95" xfId="0" applyNumberFormat="1" applyFont="1" applyFill="1" applyBorder="1" applyAlignment="1" applyProtection="1">
      <alignment horizontal="center" vertical="center"/>
      <protection hidden="1"/>
    </xf>
    <xf numFmtId="1" fontId="24" fillId="5" borderId="96" xfId="0" applyNumberFormat="1" applyFont="1" applyFill="1" applyBorder="1" applyAlignment="1" applyProtection="1">
      <alignment horizontal="center" vertical="center"/>
      <protection hidden="1"/>
    </xf>
    <xf numFmtId="164" fontId="24" fillId="5" borderId="97" xfId="0" applyNumberFormat="1" applyFont="1" applyFill="1" applyBorder="1" applyAlignment="1" applyProtection="1">
      <alignment horizontal="center" vertical="center"/>
      <protection hidden="1"/>
    </xf>
    <xf numFmtId="2" fontId="24" fillId="5" borderId="96" xfId="0" applyNumberFormat="1" applyFont="1" applyFill="1" applyBorder="1" applyAlignment="1" applyProtection="1">
      <alignment horizontal="center" vertical="center"/>
      <protection hidden="1"/>
    </xf>
    <xf numFmtId="164" fontId="23" fillId="5" borderId="98" xfId="0" applyNumberFormat="1" applyFont="1" applyFill="1" applyBorder="1" applyAlignment="1" applyProtection="1">
      <alignment horizontal="center" vertical="center"/>
      <protection hidden="1"/>
    </xf>
    <xf numFmtId="164" fontId="39" fillId="0" borderId="0" xfId="0" applyNumberFormat="1" applyFont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1" fontId="22" fillId="3" borderId="75" xfId="0" applyNumberFormat="1" applyFont="1" applyFill="1" applyBorder="1" applyAlignment="1" applyProtection="1">
      <alignment horizontal="center" vertical="center"/>
      <protection hidden="1"/>
    </xf>
    <xf numFmtId="0" fontId="23" fillId="5" borderId="39" xfId="0" applyFont="1" applyFill="1" applyBorder="1" applyAlignment="1" applyProtection="1">
      <alignment horizontal="center" vertical="center"/>
      <protection hidden="1"/>
    </xf>
    <xf numFmtId="0" fontId="26" fillId="5" borderId="39" xfId="0" applyFont="1" applyFill="1" applyBorder="1" applyAlignment="1" applyProtection="1">
      <alignment horizontal="center" vertical="center"/>
      <protection hidden="1"/>
    </xf>
    <xf numFmtId="1" fontId="24" fillId="5" borderId="99" xfId="0" applyNumberFormat="1" applyFont="1" applyFill="1" applyBorder="1" applyAlignment="1" applyProtection="1">
      <alignment horizontal="center" vertical="center"/>
      <protection hidden="1"/>
    </xf>
    <xf numFmtId="1" fontId="24" fillId="5" borderId="84" xfId="0" applyNumberFormat="1" applyFont="1" applyFill="1" applyBorder="1" applyAlignment="1" applyProtection="1">
      <alignment horizontal="center" vertical="center"/>
      <protection hidden="1"/>
    </xf>
    <xf numFmtId="164" fontId="24" fillId="5" borderId="101" xfId="0" applyNumberFormat="1" applyFont="1" applyFill="1" applyBorder="1" applyAlignment="1" applyProtection="1">
      <alignment horizontal="center" vertical="center"/>
      <protection hidden="1"/>
    </xf>
    <xf numFmtId="2" fontId="24" fillId="5" borderId="102" xfId="0" applyNumberFormat="1" applyFont="1" applyFill="1" applyBorder="1" applyAlignment="1" applyProtection="1">
      <alignment horizontal="center" vertical="center"/>
      <protection hidden="1"/>
    </xf>
    <xf numFmtId="164" fontId="24" fillId="5" borderId="103" xfId="0" applyNumberFormat="1" applyFont="1" applyFill="1" applyBorder="1" applyAlignment="1" applyProtection="1">
      <alignment horizontal="center" vertical="center"/>
      <protection hidden="1"/>
    </xf>
    <xf numFmtId="2" fontId="24" fillId="5" borderId="84" xfId="0" applyNumberFormat="1" applyFont="1" applyFill="1" applyBorder="1" applyAlignment="1" applyProtection="1">
      <alignment horizontal="center" vertical="center"/>
      <protection hidden="1"/>
    </xf>
    <xf numFmtId="1" fontId="24" fillId="5" borderId="102" xfId="0" applyNumberFormat="1" applyFont="1" applyFill="1" applyBorder="1" applyAlignment="1" applyProtection="1">
      <alignment horizontal="center" vertical="center"/>
      <protection hidden="1"/>
    </xf>
    <xf numFmtId="164" fontId="23" fillId="5" borderId="104" xfId="0" applyNumberFormat="1" applyFont="1" applyFill="1" applyBorder="1" applyAlignment="1" applyProtection="1">
      <alignment horizontal="center" vertical="center"/>
      <protection hidden="1"/>
    </xf>
    <xf numFmtId="0" fontId="23" fillId="5" borderId="22" xfId="0" applyFont="1" applyFill="1" applyBorder="1" applyAlignment="1" applyProtection="1">
      <alignment horizontal="center" vertical="center"/>
      <protection hidden="1"/>
    </xf>
    <xf numFmtId="1" fontId="24" fillId="5" borderId="109" xfId="0" applyNumberFormat="1" applyFont="1" applyFill="1" applyBorder="1" applyAlignment="1" applyProtection="1">
      <alignment horizontal="center" vertical="center"/>
      <protection hidden="1"/>
    </xf>
    <xf numFmtId="2" fontId="24" fillId="5" borderId="100" xfId="0" applyNumberFormat="1" applyFont="1" applyFill="1" applyBorder="1" applyAlignment="1" applyProtection="1">
      <alignment horizontal="center" vertical="center"/>
      <protection hidden="1"/>
    </xf>
    <xf numFmtId="164" fontId="23" fillId="5" borderId="18" xfId="0" applyNumberFormat="1" applyFont="1" applyFill="1" applyBorder="1" applyAlignment="1" applyProtection="1">
      <alignment horizontal="center" vertical="center"/>
      <protection hidden="1"/>
    </xf>
    <xf numFmtId="1" fontId="22" fillId="3" borderId="38" xfId="0" applyNumberFormat="1" applyFont="1" applyFill="1" applyBorder="1" applyAlignment="1" applyProtection="1">
      <alignment horizontal="center" vertical="center"/>
      <protection hidden="1"/>
    </xf>
    <xf numFmtId="0" fontId="26" fillId="5" borderId="22" xfId="0" applyFont="1" applyFill="1" applyBorder="1" applyAlignment="1" applyProtection="1">
      <alignment horizontal="center" vertical="center"/>
      <protection hidden="1"/>
    </xf>
    <xf numFmtId="2" fontId="24" fillId="5" borderId="107" xfId="0" applyNumberFormat="1" applyFont="1" applyFill="1" applyBorder="1" applyAlignment="1" applyProtection="1">
      <alignment horizontal="center" vertical="center"/>
      <protection hidden="1"/>
    </xf>
    <xf numFmtId="164" fontId="24" fillId="5" borderId="108" xfId="0" applyNumberFormat="1" applyFont="1" applyFill="1" applyBorder="1" applyAlignment="1" applyProtection="1">
      <alignment horizontal="center" vertical="center"/>
      <protection hidden="1"/>
    </xf>
    <xf numFmtId="1" fontId="22" fillId="3" borderId="50" xfId="0" applyNumberFormat="1" applyFont="1" applyFill="1" applyBorder="1" applyAlignment="1" applyProtection="1">
      <alignment horizontal="center" vertical="center"/>
      <protection hidden="1"/>
    </xf>
    <xf numFmtId="0" fontId="23" fillId="5" borderId="16" xfId="0" applyFont="1" applyFill="1" applyBorder="1" applyAlignment="1" applyProtection="1">
      <alignment horizontal="center" vertical="center"/>
      <protection hidden="1"/>
    </xf>
    <xf numFmtId="0" fontId="26" fillId="5" borderId="20" xfId="0" applyFont="1" applyFill="1" applyBorder="1" applyAlignment="1" applyProtection="1">
      <alignment horizontal="center" vertical="center"/>
      <protection hidden="1"/>
    </xf>
    <xf numFmtId="1" fontId="24" fillId="5" borderId="106" xfId="0" applyNumberFormat="1" applyFont="1" applyFill="1" applyBorder="1" applyAlignment="1" applyProtection="1">
      <alignment horizontal="center" vertical="center"/>
      <protection hidden="1"/>
    </xf>
    <xf numFmtId="1" fontId="24" fillId="5" borderId="55" xfId="0" applyNumberFormat="1" applyFont="1" applyFill="1" applyBorder="1" applyAlignment="1" applyProtection="1">
      <alignment horizontal="center" vertical="center"/>
      <protection hidden="1"/>
    </xf>
    <xf numFmtId="164" fontId="24" fillId="5" borderId="105" xfId="0" applyNumberFormat="1" applyFont="1" applyFill="1" applyBorder="1" applyAlignment="1" applyProtection="1">
      <alignment horizontal="center" vertical="center"/>
      <protection hidden="1"/>
    </xf>
    <xf numFmtId="2" fontId="24" fillId="5" borderId="55" xfId="0" applyNumberFormat="1" applyFont="1" applyFill="1" applyBorder="1" applyAlignment="1" applyProtection="1">
      <alignment horizontal="center" vertical="center"/>
      <protection hidden="1"/>
    </xf>
    <xf numFmtId="164" fontId="24" fillId="5" borderId="106" xfId="0" applyNumberFormat="1" applyFont="1" applyFill="1" applyBorder="1" applyAlignment="1" applyProtection="1">
      <alignment horizontal="center" vertical="center"/>
      <protection hidden="1"/>
    </xf>
    <xf numFmtId="164" fontId="23" fillId="5" borderId="35" xfId="0" applyNumberFormat="1" applyFont="1" applyFill="1" applyBorder="1" applyAlignment="1" applyProtection="1">
      <alignment horizontal="center" vertical="center"/>
      <protection hidden="1"/>
    </xf>
    <xf numFmtId="0" fontId="39" fillId="0" borderId="32" xfId="0" applyFont="1" applyBorder="1" applyAlignment="1" applyProtection="1">
      <alignment horizontal="center" vertical="center"/>
      <protection hidden="1"/>
    </xf>
    <xf numFmtId="164" fontId="23" fillId="5" borderId="147" xfId="0" applyNumberFormat="1" applyFont="1" applyFill="1" applyBorder="1" applyAlignment="1" applyProtection="1">
      <alignment horizontal="center" vertical="center"/>
      <protection hidden="1"/>
    </xf>
    <xf numFmtId="164" fontId="39" fillId="0" borderId="32" xfId="0" applyNumberFormat="1" applyFont="1" applyBorder="1" applyAlignment="1" applyProtection="1">
      <alignment horizontal="center" vertical="center"/>
      <protection hidden="1"/>
    </xf>
    <xf numFmtId="164" fontId="23" fillId="5" borderId="69" xfId="0" applyNumberFormat="1" applyFont="1" applyFill="1" applyBorder="1" applyAlignment="1" applyProtection="1">
      <alignment horizontal="center" vertical="center"/>
      <protection hidden="1"/>
    </xf>
    <xf numFmtId="164" fontId="23" fillId="5" borderId="148" xfId="0" applyNumberFormat="1" applyFont="1" applyFill="1" applyBorder="1" applyAlignment="1" applyProtection="1">
      <alignment horizontal="center" vertical="center"/>
      <protection hidden="1"/>
    </xf>
    <xf numFmtId="0" fontId="23" fillId="5" borderId="46" xfId="0" applyFont="1" applyFill="1" applyBorder="1" applyAlignment="1" applyProtection="1">
      <alignment horizontal="center" vertical="center"/>
      <protection hidden="1"/>
    </xf>
    <xf numFmtId="164" fontId="23" fillId="5" borderId="149" xfId="0" applyNumberFormat="1" applyFont="1" applyFill="1" applyBorder="1" applyAlignment="1" applyProtection="1">
      <alignment horizontal="center" vertical="center"/>
      <protection hidden="1"/>
    </xf>
    <xf numFmtId="0" fontId="30" fillId="12" borderId="0" xfId="0" applyFont="1" applyFill="1" applyAlignment="1" applyProtection="1">
      <alignment horizontal="center" vertical="center" wrapText="1"/>
      <protection hidden="1"/>
    </xf>
    <xf numFmtId="0" fontId="30" fillId="12" borderId="131" xfId="0" applyFont="1" applyFill="1" applyBorder="1" applyAlignment="1" applyProtection="1">
      <alignment horizontal="center" vertical="center" wrapText="1"/>
      <protection hidden="1"/>
    </xf>
    <xf numFmtId="1" fontId="22" fillId="15" borderId="122" xfId="0" applyNumberFormat="1" applyFont="1" applyFill="1" applyBorder="1" applyAlignment="1" applyProtection="1">
      <alignment horizontal="center" vertical="center"/>
      <protection hidden="1"/>
    </xf>
    <xf numFmtId="1" fontId="25" fillId="5" borderId="134" xfId="0" applyNumberFormat="1" applyFont="1" applyFill="1" applyBorder="1" applyAlignment="1" applyProtection="1">
      <alignment horizontal="center" vertical="center"/>
      <protection hidden="1"/>
    </xf>
    <xf numFmtId="164" fontId="25" fillId="5" borderId="1" xfId="0" applyNumberFormat="1" applyFont="1" applyFill="1" applyBorder="1" applyAlignment="1" applyProtection="1">
      <alignment horizontal="center" vertical="center"/>
      <protection hidden="1"/>
    </xf>
    <xf numFmtId="164" fontId="25" fillId="5" borderId="119" xfId="0" applyNumberFormat="1" applyFont="1" applyFill="1" applyBorder="1" applyAlignment="1" applyProtection="1">
      <alignment horizontal="center" vertical="center"/>
      <protection hidden="1"/>
    </xf>
    <xf numFmtId="1" fontId="25" fillId="5" borderId="107" xfId="0" applyNumberFormat="1" applyFont="1" applyFill="1" applyBorder="1" applyAlignment="1" applyProtection="1">
      <alignment horizontal="center" vertical="center"/>
      <protection hidden="1"/>
    </xf>
    <xf numFmtId="164" fontId="25" fillId="5" borderId="120" xfId="0" applyNumberFormat="1" applyFont="1" applyFill="1" applyBorder="1" applyAlignment="1" applyProtection="1">
      <alignment horizontal="center" vertical="center"/>
      <protection hidden="1"/>
    </xf>
    <xf numFmtId="1" fontId="22" fillId="15" borderId="121" xfId="0" applyNumberFormat="1" applyFont="1" applyFill="1" applyBorder="1" applyAlignment="1" applyProtection="1">
      <alignment horizontal="center" vertical="center"/>
      <protection hidden="1"/>
    </xf>
    <xf numFmtId="1" fontId="25" fillId="5" borderId="102" xfId="0" applyNumberFormat="1" applyFont="1" applyFill="1" applyBorder="1" applyAlignment="1" applyProtection="1">
      <alignment horizontal="center" vertical="center"/>
      <protection hidden="1"/>
    </xf>
    <xf numFmtId="164" fontId="25" fillId="5" borderId="129" xfId="0" applyNumberFormat="1" applyFont="1" applyFill="1" applyBorder="1" applyAlignment="1" applyProtection="1">
      <alignment horizontal="center" vertical="center"/>
      <protection hidden="1"/>
    </xf>
    <xf numFmtId="164" fontId="25" fillId="5" borderId="128" xfId="0" applyNumberFormat="1" applyFont="1" applyFill="1" applyBorder="1" applyAlignment="1" applyProtection="1">
      <alignment horizontal="center" vertical="center"/>
      <protection hidden="1"/>
    </xf>
    <xf numFmtId="1" fontId="22" fillId="15" borderId="123" xfId="0" applyNumberFormat="1" applyFont="1" applyFill="1" applyBorder="1" applyAlignment="1" applyProtection="1">
      <alignment horizontal="center" vertical="center"/>
      <protection hidden="1"/>
    </xf>
    <xf numFmtId="164" fontId="25" fillId="5" borderId="18" xfId="0" applyNumberFormat="1" applyFont="1" applyFill="1" applyBorder="1" applyAlignment="1" applyProtection="1">
      <alignment horizontal="center" vertical="center"/>
      <protection hidden="1"/>
    </xf>
    <xf numFmtId="164" fontId="25" fillId="5" borderId="126" xfId="0" applyNumberFormat="1" applyFont="1" applyFill="1" applyBorder="1" applyAlignment="1" applyProtection="1">
      <alignment horizontal="center" vertical="center"/>
      <protection hidden="1"/>
    </xf>
    <xf numFmtId="1" fontId="22" fillId="15" borderId="124" xfId="0" applyNumberFormat="1" applyFont="1" applyFill="1" applyBorder="1" applyAlignment="1" applyProtection="1">
      <alignment horizontal="center" vertical="center"/>
      <protection hidden="1"/>
    </xf>
    <xf numFmtId="1" fontId="25" fillId="5" borderId="133" xfId="0" applyNumberFormat="1" applyFont="1" applyFill="1" applyBorder="1" applyAlignment="1" applyProtection="1">
      <alignment horizontal="center" vertical="center"/>
      <protection hidden="1"/>
    </xf>
    <xf numFmtId="164" fontId="25" fillId="5" borderId="125" xfId="0" applyNumberFormat="1" applyFont="1" applyFill="1" applyBorder="1" applyAlignment="1" applyProtection="1">
      <alignment horizontal="center" vertical="center"/>
      <protection hidden="1"/>
    </xf>
    <xf numFmtId="164" fontId="25" fillId="5" borderId="67" xfId="0" applyNumberFormat="1" applyFont="1" applyFill="1" applyBorder="1" applyAlignment="1" applyProtection="1">
      <alignment horizontal="center" vertical="center"/>
      <protection hidden="1"/>
    </xf>
    <xf numFmtId="164" fontId="25" fillId="5" borderId="127" xfId="0" applyNumberFormat="1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167" fontId="39" fillId="0" borderId="0" xfId="0" applyNumberFormat="1" applyFont="1" applyAlignment="1" applyProtection="1">
      <alignment horizontal="center" vertical="center"/>
      <protection hidden="1"/>
    </xf>
    <xf numFmtId="0" fontId="2" fillId="0" borderId="189" xfId="0" applyFont="1" applyBorder="1" applyAlignment="1" applyProtection="1">
      <alignment horizontal="center" vertical="center"/>
      <protection hidden="1"/>
    </xf>
    <xf numFmtId="164" fontId="11" fillId="5" borderId="27" xfId="1" applyNumberFormat="1" applyFont="1" applyFill="1" applyBorder="1" applyAlignment="1" applyProtection="1">
      <alignment horizontal="center" vertical="center"/>
      <protection hidden="1"/>
    </xf>
    <xf numFmtId="164" fontId="11" fillId="5" borderId="28" xfId="1" applyNumberFormat="1" applyFont="1" applyFill="1" applyBorder="1" applyAlignment="1" applyProtection="1">
      <alignment horizontal="center" vertical="center"/>
      <protection hidden="1"/>
    </xf>
    <xf numFmtId="0" fontId="4" fillId="3" borderId="76" xfId="0" applyFont="1" applyFill="1" applyBorder="1" applyAlignment="1" applyProtection="1">
      <alignment horizontal="center" vertical="center"/>
      <protection hidden="1"/>
    </xf>
    <xf numFmtId="0" fontId="4" fillId="3" borderId="44" xfId="0" applyFont="1" applyFill="1" applyBorder="1" applyAlignment="1" applyProtection="1">
      <alignment horizontal="center" vertical="center"/>
      <protection hidden="1"/>
    </xf>
    <xf numFmtId="0" fontId="4" fillId="3" borderId="37" xfId="0" applyFont="1" applyFill="1" applyBorder="1" applyAlignment="1" applyProtection="1">
      <alignment horizontal="center" vertical="center"/>
      <protection hidden="1"/>
    </xf>
    <xf numFmtId="0" fontId="4" fillId="3" borderId="15" xfId="0" applyFont="1" applyFill="1" applyBorder="1" applyAlignment="1" applyProtection="1">
      <alignment horizontal="center" vertical="center"/>
      <protection hidden="1"/>
    </xf>
    <xf numFmtId="0" fontId="4" fillId="3" borderId="59" xfId="0" applyFont="1" applyFill="1" applyBorder="1" applyAlignment="1" applyProtection="1">
      <alignment horizontal="center" vertical="center"/>
      <protection hidden="1"/>
    </xf>
    <xf numFmtId="0" fontId="4" fillId="3" borderId="60" xfId="0" applyFont="1" applyFill="1" applyBorder="1" applyAlignment="1" applyProtection="1">
      <alignment horizontal="center" vertical="center"/>
      <protection hidden="1"/>
    </xf>
    <xf numFmtId="0" fontId="4" fillId="3" borderId="61" xfId="0" applyFont="1" applyFill="1" applyBorder="1" applyAlignment="1" applyProtection="1">
      <alignment horizontal="center" vertical="center"/>
      <protection hidden="1"/>
    </xf>
    <xf numFmtId="0" fontId="4" fillId="3" borderId="52" xfId="0" applyFont="1" applyFill="1" applyBorder="1" applyAlignment="1" applyProtection="1">
      <alignment horizontal="center" vertical="center"/>
      <protection hidden="1"/>
    </xf>
    <xf numFmtId="0" fontId="4" fillId="3" borderId="24" xfId="0" applyFont="1" applyFill="1" applyBorder="1" applyAlignment="1" applyProtection="1">
      <alignment horizontal="center" vertical="center"/>
      <protection hidden="1"/>
    </xf>
    <xf numFmtId="0" fontId="4" fillId="3" borderId="25" xfId="0" applyFont="1" applyFill="1" applyBorder="1" applyAlignment="1" applyProtection="1">
      <alignment horizontal="center" vertical="center"/>
      <protection hidden="1"/>
    </xf>
    <xf numFmtId="0" fontId="4" fillId="3" borderId="81" xfId="0" applyFont="1" applyFill="1" applyBorder="1" applyAlignment="1" applyProtection="1">
      <alignment horizontal="center" vertical="center"/>
      <protection hidden="1"/>
    </xf>
    <xf numFmtId="0" fontId="4" fillId="3" borderId="82" xfId="0" applyFont="1" applyFill="1" applyBorder="1" applyAlignment="1" applyProtection="1">
      <alignment horizontal="center" vertical="center"/>
      <protection hidden="1"/>
    </xf>
    <xf numFmtId="0" fontId="4" fillId="3" borderId="136" xfId="0" applyFont="1" applyFill="1" applyBorder="1" applyAlignment="1" applyProtection="1">
      <alignment horizontal="center" vertical="center"/>
      <protection hidden="1"/>
    </xf>
    <xf numFmtId="0" fontId="2" fillId="3" borderId="4" xfId="0" applyFont="1" applyFill="1" applyBorder="1" applyAlignment="1" applyProtection="1">
      <alignment horizontal="center" vertical="center"/>
      <protection hidden="1"/>
    </xf>
    <xf numFmtId="0" fontId="2" fillId="3" borderId="5" xfId="0" applyFont="1" applyFill="1" applyBorder="1" applyAlignment="1" applyProtection="1">
      <alignment horizontal="center" vertical="center"/>
      <protection hidden="1"/>
    </xf>
    <xf numFmtId="0" fontId="2" fillId="3" borderId="6" xfId="0" applyFont="1" applyFill="1" applyBorder="1" applyAlignment="1" applyProtection="1">
      <alignment horizontal="center" vertical="center"/>
      <protection hidden="1"/>
    </xf>
    <xf numFmtId="0" fontId="2" fillId="3" borderId="71" xfId="0" applyFont="1" applyFill="1" applyBorder="1" applyAlignment="1" applyProtection="1">
      <alignment horizontal="center" vertical="center"/>
      <protection hidden="1"/>
    </xf>
    <xf numFmtId="0" fontId="2" fillId="3" borderId="72" xfId="0" applyFont="1" applyFill="1" applyBorder="1" applyAlignment="1" applyProtection="1">
      <alignment horizontal="center" vertical="center"/>
      <protection hidden="1"/>
    </xf>
    <xf numFmtId="0" fontId="2" fillId="3" borderId="73" xfId="0" applyFont="1" applyFill="1" applyBorder="1" applyAlignment="1" applyProtection="1">
      <alignment horizontal="center" vertical="center"/>
      <protection hidden="1"/>
    </xf>
    <xf numFmtId="164" fontId="2" fillId="5" borderId="56" xfId="1" applyNumberFormat="1" applyFont="1" applyFill="1" applyBorder="1" applyAlignment="1" applyProtection="1">
      <alignment horizontal="center" vertical="center"/>
      <protection hidden="1"/>
    </xf>
    <xf numFmtId="164" fontId="2" fillId="5" borderId="57" xfId="1" applyNumberFormat="1" applyFont="1" applyFill="1" applyBorder="1" applyAlignment="1" applyProtection="1">
      <alignment horizontal="center" vertical="center"/>
      <protection hidden="1"/>
    </xf>
    <xf numFmtId="164" fontId="2" fillId="5" borderId="58" xfId="1" applyNumberFormat="1" applyFont="1" applyFill="1" applyBorder="1" applyAlignment="1" applyProtection="1">
      <alignment horizontal="center" vertical="center"/>
      <protection hidden="1"/>
    </xf>
    <xf numFmtId="0" fontId="4" fillId="3" borderId="2" xfId="0" applyFont="1" applyFill="1" applyBorder="1" applyAlignment="1" applyProtection="1">
      <alignment horizontal="center" vertical="center"/>
      <protection hidden="1"/>
    </xf>
    <xf numFmtId="0" fontId="4" fillId="3" borderId="54" xfId="0" applyFont="1" applyFill="1" applyBorder="1" applyAlignment="1" applyProtection="1">
      <alignment horizontal="center" vertical="center"/>
      <protection hidden="1"/>
    </xf>
    <xf numFmtId="0" fontId="4" fillId="3" borderId="5" xfId="0" applyFont="1" applyFill="1" applyBorder="1" applyAlignment="1" applyProtection="1">
      <alignment horizontal="center" vertical="center" wrapText="1"/>
      <protection hidden="1"/>
    </xf>
    <xf numFmtId="0" fontId="4" fillId="3" borderId="9" xfId="0" applyFont="1" applyFill="1" applyBorder="1" applyAlignment="1" applyProtection="1">
      <alignment horizontal="center" vertical="center" wrapText="1"/>
      <protection hidden="1"/>
    </xf>
    <xf numFmtId="0" fontId="9" fillId="4" borderId="4" xfId="0" applyFont="1" applyFill="1" applyBorder="1" applyAlignment="1" applyProtection="1">
      <alignment horizontal="center" vertical="center"/>
      <protection hidden="1"/>
    </xf>
    <xf numFmtId="0" fontId="9" fillId="4" borderId="36" xfId="0" applyFont="1" applyFill="1" applyBorder="1" applyAlignment="1" applyProtection="1">
      <alignment horizontal="center" vertical="center"/>
      <protection hidden="1"/>
    </xf>
    <xf numFmtId="0" fontId="2" fillId="5" borderId="32" xfId="0" applyFont="1" applyFill="1" applyBorder="1" applyAlignment="1" applyProtection="1">
      <alignment horizontal="left" vertical="center" indent="2"/>
      <protection hidden="1"/>
    </xf>
    <xf numFmtId="0" fontId="2" fillId="5" borderId="0" xfId="0" applyFont="1" applyFill="1" applyAlignment="1" applyProtection="1">
      <alignment horizontal="left" vertical="center" indent="2"/>
      <protection hidden="1"/>
    </xf>
    <xf numFmtId="0" fontId="2" fillId="5" borderId="18" xfId="0" applyFont="1" applyFill="1" applyBorder="1" applyAlignment="1" applyProtection="1">
      <alignment horizontal="left" vertical="center" indent="2"/>
      <protection hidden="1"/>
    </xf>
    <xf numFmtId="0" fontId="9" fillId="4" borderId="31" xfId="0" applyFont="1" applyFill="1" applyBorder="1" applyAlignment="1" applyProtection="1">
      <alignment horizontal="center" vertical="center" wrapText="1"/>
      <protection hidden="1"/>
    </xf>
    <xf numFmtId="0" fontId="9" fillId="4" borderId="36" xfId="0" applyFont="1" applyFill="1" applyBorder="1" applyAlignment="1" applyProtection="1">
      <alignment horizontal="center" vertical="center" wrapText="1"/>
      <protection hidden="1"/>
    </xf>
    <xf numFmtId="0" fontId="4" fillId="3" borderId="44" xfId="0" applyFont="1" applyFill="1" applyBorder="1" applyAlignment="1" applyProtection="1">
      <alignment horizontal="center" vertical="center" wrapText="1"/>
      <protection hidden="1"/>
    </xf>
    <xf numFmtId="0" fontId="4" fillId="3" borderId="15" xfId="0" applyFont="1" applyFill="1" applyBorder="1" applyAlignment="1" applyProtection="1">
      <alignment horizontal="center" vertical="center" wrapText="1"/>
      <protection hidden="1"/>
    </xf>
    <xf numFmtId="0" fontId="4" fillId="3" borderId="11" xfId="0" applyFont="1" applyFill="1" applyBorder="1" applyAlignment="1" applyProtection="1">
      <alignment horizontal="center" vertical="center" wrapText="1"/>
      <protection hidden="1"/>
    </xf>
    <xf numFmtId="0" fontId="4" fillId="3" borderId="7" xfId="0" applyFont="1" applyFill="1" applyBorder="1" applyAlignment="1" applyProtection="1">
      <alignment horizontal="center" vertical="center" wrapText="1"/>
      <protection hidden="1"/>
    </xf>
    <xf numFmtId="0" fontId="4" fillId="3" borderId="12" xfId="0" applyFont="1" applyFill="1" applyBorder="1" applyAlignment="1" applyProtection="1">
      <alignment horizontal="center" vertical="center" wrapText="1"/>
      <protection hidden="1"/>
    </xf>
    <xf numFmtId="0" fontId="4" fillId="3" borderId="13" xfId="0" applyFont="1" applyFill="1" applyBorder="1" applyAlignment="1" applyProtection="1">
      <alignment horizontal="center" vertical="center" wrapText="1"/>
      <protection hidden="1"/>
    </xf>
    <xf numFmtId="0" fontId="4" fillId="3" borderId="4" xfId="0" applyFont="1" applyFill="1" applyBorder="1" applyAlignment="1" applyProtection="1">
      <alignment horizontal="center" vertical="center"/>
      <protection hidden="1"/>
    </xf>
    <xf numFmtId="0" fontId="4" fillId="3" borderId="6" xfId="0" applyFont="1" applyFill="1" applyBorder="1" applyAlignment="1" applyProtection="1">
      <alignment horizontal="center" vertical="center"/>
      <protection hidden="1"/>
    </xf>
    <xf numFmtId="0" fontId="4" fillId="3" borderId="8" xfId="0" applyFont="1" applyFill="1" applyBorder="1" applyAlignment="1" applyProtection="1">
      <alignment horizontal="center" vertical="center"/>
      <protection hidden="1"/>
    </xf>
    <xf numFmtId="0" fontId="4" fillId="3" borderId="10" xfId="0" applyFont="1" applyFill="1" applyBorder="1" applyAlignment="1" applyProtection="1">
      <alignment horizontal="center" vertic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0" fontId="4" fillId="3" borderId="9" xfId="0" applyFont="1" applyFill="1" applyBorder="1" applyAlignment="1" applyProtection="1">
      <alignment horizontal="center" vertical="center"/>
      <protection hidden="1"/>
    </xf>
    <xf numFmtId="10" fontId="4" fillId="5" borderId="34" xfId="1" applyNumberFormat="1" applyFont="1" applyFill="1" applyBorder="1" applyAlignment="1" applyProtection="1">
      <alignment horizontal="center" vertical="center"/>
      <protection hidden="1"/>
    </xf>
    <xf numFmtId="10" fontId="4" fillId="5" borderId="35" xfId="1" applyNumberFormat="1" applyFont="1" applyFill="1" applyBorder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vertical="center" wrapText="1"/>
      <protection hidden="1"/>
    </xf>
    <xf numFmtId="0" fontId="2" fillId="3" borderId="1" xfId="0" applyFont="1" applyFill="1" applyBorder="1" applyAlignment="1" applyProtection="1">
      <alignment vertical="center" wrapText="1"/>
      <protection hidden="1"/>
    </xf>
    <xf numFmtId="0" fontId="7" fillId="3" borderId="70" xfId="2" applyFont="1" applyFill="1" applyBorder="1" applyAlignment="1" applyProtection="1">
      <alignment horizontal="center" vertical="center"/>
      <protection hidden="1"/>
    </xf>
    <xf numFmtId="0" fontId="4" fillId="6" borderId="63" xfId="0" applyFont="1" applyFill="1" applyBorder="1" applyAlignment="1" applyProtection="1">
      <alignment horizontal="center" vertical="center"/>
      <protection hidden="1"/>
    </xf>
    <xf numFmtId="0" fontId="4" fillId="6" borderId="64" xfId="0" applyFont="1" applyFill="1" applyBorder="1" applyAlignment="1" applyProtection="1">
      <alignment horizontal="center" vertical="center"/>
      <protection hidden="1"/>
    </xf>
    <xf numFmtId="0" fontId="4" fillId="6" borderId="65" xfId="0" applyFont="1" applyFill="1" applyBorder="1" applyAlignment="1" applyProtection="1">
      <alignment horizontal="center" vertical="center"/>
      <protection hidden="1"/>
    </xf>
    <xf numFmtId="0" fontId="12" fillId="3" borderId="80" xfId="0" applyFont="1" applyFill="1" applyBorder="1" applyAlignment="1" applyProtection="1">
      <alignment horizontal="center" vertical="center"/>
      <protection hidden="1"/>
    </xf>
    <xf numFmtId="0" fontId="12" fillId="3" borderId="79" xfId="0" applyFont="1" applyFill="1" applyBorder="1" applyAlignment="1" applyProtection="1">
      <alignment horizontal="center" vertical="center"/>
      <protection hidden="1"/>
    </xf>
    <xf numFmtId="0" fontId="12" fillId="3" borderId="66" xfId="0" applyFont="1" applyFill="1" applyBorder="1" applyAlignment="1" applyProtection="1">
      <alignment horizontal="center" vertical="center"/>
      <protection hidden="1"/>
    </xf>
    <xf numFmtId="0" fontId="12" fillId="3" borderId="32" xfId="0" applyFont="1" applyFill="1" applyBorder="1" applyAlignment="1" applyProtection="1">
      <alignment horizontal="center" vertical="center"/>
      <protection hidden="1"/>
    </xf>
    <xf numFmtId="0" fontId="12" fillId="3" borderId="0" xfId="0" applyFont="1" applyFill="1" applyAlignment="1" applyProtection="1">
      <alignment horizontal="center" vertical="center"/>
      <protection hidden="1"/>
    </xf>
    <xf numFmtId="0" fontId="12" fillId="3" borderId="18" xfId="0" applyFont="1" applyFill="1" applyBorder="1" applyAlignment="1" applyProtection="1">
      <alignment horizontal="center" vertical="center"/>
      <protection hidden="1"/>
    </xf>
    <xf numFmtId="0" fontId="12" fillId="3" borderId="50" xfId="0" applyFont="1" applyFill="1" applyBorder="1" applyAlignment="1" applyProtection="1">
      <alignment horizontal="center" vertical="center"/>
      <protection hidden="1"/>
    </xf>
    <xf numFmtId="0" fontId="12" fillId="3" borderId="3" xfId="0" applyFont="1" applyFill="1" applyBorder="1" applyAlignment="1" applyProtection="1">
      <alignment horizontal="center" vertical="center"/>
      <protection hidden="1"/>
    </xf>
    <xf numFmtId="0" fontId="12" fillId="3" borderId="35" xfId="0" applyFont="1" applyFill="1" applyBorder="1" applyAlignment="1" applyProtection="1">
      <alignment horizontal="center" vertical="center"/>
      <protection hidden="1"/>
    </xf>
    <xf numFmtId="0" fontId="4" fillId="3" borderId="36" xfId="0" applyFont="1" applyFill="1" applyBorder="1" applyAlignment="1" applyProtection="1">
      <alignment horizontal="center" vertical="center"/>
      <protection hidden="1"/>
    </xf>
    <xf numFmtId="0" fontId="4" fillId="3" borderId="14" xfId="0" applyFont="1" applyFill="1" applyBorder="1" applyAlignment="1" applyProtection="1">
      <alignment horizontal="center" vertical="center"/>
      <protection hidden="1"/>
    </xf>
    <xf numFmtId="0" fontId="13" fillId="9" borderId="169" xfId="0" applyFont="1" applyFill="1" applyBorder="1" applyAlignment="1" applyProtection="1">
      <alignment horizontal="left" vertical="center"/>
      <protection hidden="1"/>
    </xf>
    <xf numFmtId="0" fontId="13" fillId="9" borderId="170" xfId="0" applyFont="1" applyFill="1" applyBorder="1" applyAlignment="1" applyProtection="1">
      <alignment horizontal="left" vertical="center"/>
      <protection hidden="1"/>
    </xf>
    <xf numFmtId="0" fontId="13" fillId="9" borderId="171" xfId="0" applyFont="1" applyFill="1" applyBorder="1" applyAlignment="1" applyProtection="1">
      <alignment horizontal="left" vertical="center"/>
      <protection hidden="1"/>
    </xf>
    <xf numFmtId="0" fontId="2" fillId="3" borderId="32" xfId="0" applyFont="1" applyFill="1" applyBorder="1" applyAlignment="1" applyProtection="1">
      <alignment horizontal="left" vertical="center" wrapText="1"/>
      <protection hidden="1"/>
    </xf>
    <xf numFmtId="0" fontId="2" fillId="3" borderId="0" xfId="0" applyFont="1" applyFill="1" applyAlignment="1" applyProtection="1">
      <alignment horizontal="left" vertical="center" wrapText="1"/>
      <protection hidden="1"/>
    </xf>
    <xf numFmtId="0" fontId="2" fillId="3" borderId="1" xfId="0" applyFont="1" applyFill="1" applyBorder="1" applyAlignment="1" applyProtection="1">
      <alignment horizontal="left" vertical="center" wrapText="1"/>
      <protection hidden="1"/>
    </xf>
    <xf numFmtId="0" fontId="2" fillId="3" borderId="50" xfId="0" applyFont="1" applyFill="1" applyBorder="1" applyAlignment="1" applyProtection="1">
      <alignment horizontal="left" vertical="center" wrapText="1"/>
      <protection hidden="1"/>
    </xf>
    <xf numFmtId="0" fontId="2" fillId="3" borderId="3" xfId="0" applyFont="1" applyFill="1" applyBorder="1" applyAlignment="1" applyProtection="1">
      <alignment horizontal="left" vertical="center" wrapText="1"/>
      <protection hidden="1"/>
    </xf>
    <xf numFmtId="0" fontId="2" fillId="3" borderId="67" xfId="0" applyFont="1" applyFill="1" applyBorder="1" applyAlignment="1" applyProtection="1">
      <alignment horizontal="left" vertical="center" wrapText="1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2" fillId="5" borderId="50" xfId="0" applyFont="1" applyFill="1" applyBorder="1" applyAlignment="1" applyProtection="1">
      <alignment horizontal="left" vertical="center" indent="2"/>
      <protection hidden="1"/>
    </xf>
    <xf numFmtId="0" fontId="2" fillId="5" borderId="3" xfId="0" applyFont="1" applyFill="1" applyBorder="1" applyAlignment="1" applyProtection="1">
      <alignment horizontal="left" vertical="center" indent="2"/>
      <protection hidden="1"/>
    </xf>
    <xf numFmtId="0" fontId="2" fillId="5" borderId="35" xfId="0" applyFont="1" applyFill="1" applyBorder="1" applyAlignment="1" applyProtection="1">
      <alignment horizontal="left" vertical="center" indent="2"/>
      <protection hidden="1"/>
    </xf>
    <xf numFmtId="0" fontId="14" fillId="10" borderId="172" xfId="0" applyFont="1" applyFill="1" applyBorder="1" applyAlignment="1" applyProtection="1">
      <alignment horizontal="left" vertical="center"/>
      <protection hidden="1"/>
    </xf>
    <xf numFmtId="0" fontId="14" fillId="10" borderId="62" xfId="0" applyFont="1" applyFill="1" applyBorder="1" applyAlignment="1" applyProtection="1">
      <alignment horizontal="left" vertical="center"/>
      <protection hidden="1"/>
    </xf>
    <xf numFmtId="0" fontId="34" fillId="5" borderId="62" xfId="2" applyFont="1" applyFill="1" applyBorder="1" applyAlignment="1">
      <alignment horizontal="left" vertical="center"/>
    </xf>
    <xf numFmtId="0" fontId="35" fillId="5" borderId="62" xfId="0" applyFont="1" applyFill="1" applyBorder="1" applyAlignment="1">
      <alignment horizontal="left" vertical="center"/>
    </xf>
    <xf numFmtId="0" fontId="35" fillId="5" borderId="173" xfId="0" applyFont="1" applyFill="1" applyBorder="1" applyAlignment="1">
      <alignment horizontal="left" vertical="center"/>
    </xf>
    <xf numFmtId="0" fontId="14" fillId="10" borderId="174" xfId="0" applyFont="1" applyFill="1" applyBorder="1" applyAlignment="1" applyProtection="1">
      <alignment horizontal="left" vertical="center"/>
      <protection hidden="1"/>
    </xf>
    <xf numFmtId="0" fontId="14" fillId="10" borderId="175" xfId="0" applyFont="1" applyFill="1" applyBorder="1" applyAlignment="1" applyProtection="1">
      <alignment horizontal="left" vertical="center"/>
      <protection hidden="1"/>
    </xf>
    <xf numFmtId="0" fontId="16" fillId="5" borderId="175" xfId="0" applyFont="1" applyFill="1" applyBorder="1" applyAlignment="1">
      <alignment horizontal="left" vertical="center" wrapText="1"/>
    </xf>
    <xf numFmtId="0" fontId="16" fillId="5" borderId="176" xfId="0" applyFont="1" applyFill="1" applyBorder="1" applyAlignment="1">
      <alignment horizontal="left" vertical="center" wrapText="1"/>
    </xf>
    <xf numFmtId="0" fontId="2" fillId="0" borderId="113" xfId="0" applyFont="1" applyBorder="1" applyAlignment="1" applyProtection="1">
      <alignment horizontal="center" vertical="center"/>
      <protection hidden="1"/>
    </xf>
    <xf numFmtId="0" fontId="2" fillId="0" borderId="114" xfId="0" applyFont="1" applyBorder="1" applyAlignment="1" applyProtection="1">
      <alignment horizontal="center" vertical="center"/>
      <protection hidden="1"/>
    </xf>
    <xf numFmtId="0" fontId="2" fillId="0" borderId="115" xfId="0" applyFont="1" applyBorder="1" applyAlignment="1" applyProtection="1">
      <alignment horizontal="center" vertical="center"/>
      <protection hidden="1"/>
    </xf>
    <xf numFmtId="0" fontId="2" fillId="0" borderId="150" xfId="0" applyFont="1" applyBorder="1" applyAlignment="1" applyProtection="1">
      <alignment horizontal="center" vertical="center"/>
      <protection hidden="1"/>
    </xf>
    <xf numFmtId="0" fontId="4" fillId="3" borderId="63" xfId="0" applyFont="1" applyFill="1" applyBorder="1" applyAlignment="1" applyProtection="1">
      <alignment horizontal="left" vertical="center" indent="1"/>
      <protection hidden="1"/>
    </xf>
    <xf numFmtId="0" fontId="4" fillId="3" borderId="64" xfId="0" applyFont="1" applyFill="1" applyBorder="1" applyAlignment="1" applyProtection="1">
      <alignment horizontal="left" vertical="center" indent="1"/>
      <protection hidden="1"/>
    </xf>
    <xf numFmtId="0" fontId="4" fillId="3" borderId="65" xfId="0" applyFont="1" applyFill="1" applyBorder="1" applyAlignment="1" applyProtection="1">
      <alignment horizontal="left" vertical="center" indent="1"/>
      <protection hidden="1"/>
    </xf>
    <xf numFmtId="0" fontId="15" fillId="2" borderId="153" xfId="0" applyFont="1" applyFill="1" applyBorder="1" applyAlignment="1" applyProtection="1">
      <alignment horizontal="center" vertical="center" wrapText="1"/>
      <protection hidden="1"/>
    </xf>
    <xf numFmtId="0" fontId="15" fillId="2" borderId="64" xfId="0" applyFont="1" applyFill="1" applyBorder="1" applyAlignment="1" applyProtection="1">
      <alignment horizontal="center" vertical="center" wrapText="1"/>
      <protection hidden="1"/>
    </xf>
    <xf numFmtId="0" fontId="15" fillId="2" borderId="65" xfId="0" applyFont="1" applyFill="1" applyBorder="1" applyAlignment="1" applyProtection="1">
      <alignment horizontal="center" vertical="center" wrapText="1"/>
      <protection hidden="1"/>
    </xf>
    <xf numFmtId="0" fontId="10" fillId="8" borderId="56" xfId="0" applyFont="1" applyFill="1" applyBorder="1" applyAlignment="1" applyProtection="1">
      <alignment horizontal="center" vertical="center" wrapText="1"/>
      <protection hidden="1"/>
    </xf>
    <xf numFmtId="0" fontId="10" fillId="8" borderId="57" xfId="0" applyFont="1" applyFill="1" applyBorder="1" applyAlignment="1" applyProtection="1">
      <alignment horizontal="center" vertical="center" wrapText="1"/>
      <protection hidden="1"/>
    </xf>
    <xf numFmtId="0" fontId="10" fillId="8" borderId="58" xfId="0" applyFont="1" applyFill="1" applyBorder="1" applyAlignment="1" applyProtection="1">
      <alignment horizontal="center" vertical="center" wrapText="1"/>
      <protection hidden="1"/>
    </xf>
    <xf numFmtId="0" fontId="16" fillId="5" borderId="62" xfId="0" applyFont="1" applyFill="1" applyBorder="1" applyAlignment="1">
      <alignment horizontal="left" vertical="center"/>
    </xf>
    <xf numFmtId="0" fontId="16" fillId="5" borderId="173" xfId="0" applyFont="1" applyFill="1" applyBorder="1" applyAlignment="1">
      <alignment horizontal="left" vertical="center"/>
    </xf>
    <xf numFmtId="49" fontId="16" fillId="5" borderId="62" xfId="0" applyNumberFormat="1" applyFont="1" applyFill="1" applyBorder="1" applyAlignment="1">
      <alignment horizontal="left" vertical="center"/>
    </xf>
    <xf numFmtId="0" fontId="34" fillId="5" borderId="173" xfId="2" applyFont="1" applyFill="1" applyBorder="1" applyAlignment="1">
      <alignment horizontal="left" vertical="center"/>
    </xf>
    <xf numFmtId="0" fontId="32" fillId="8" borderId="56" xfId="0" applyFont="1" applyFill="1" applyBorder="1" applyAlignment="1" applyProtection="1">
      <alignment horizontal="center" vertical="center" wrapText="1"/>
      <protection hidden="1"/>
    </xf>
    <xf numFmtId="0" fontId="32" fillId="8" borderId="57" xfId="0" applyFont="1" applyFill="1" applyBorder="1" applyAlignment="1" applyProtection="1">
      <alignment horizontal="center" vertical="center" wrapText="1"/>
      <protection hidden="1"/>
    </xf>
    <xf numFmtId="0" fontId="32" fillId="8" borderId="58" xfId="0" applyFont="1" applyFill="1" applyBorder="1" applyAlignment="1" applyProtection="1">
      <alignment horizontal="center" vertical="center" wrapText="1"/>
      <protection hidden="1"/>
    </xf>
    <xf numFmtId="0" fontId="36" fillId="152" borderId="177" xfId="0" applyFont="1" applyFill="1" applyBorder="1" applyAlignment="1" applyProtection="1">
      <alignment horizontal="center" vertical="center"/>
      <protection hidden="1"/>
    </xf>
    <xf numFmtId="0" fontId="36" fillId="152" borderId="2" xfId="0" applyFont="1" applyFill="1" applyBorder="1" applyAlignment="1" applyProtection="1">
      <alignment horizontal="center" vertical="center"/>
      <protection hidden="1"/>
    </xf>
    <xf numFmtId="0" fontId="36" fillId="152" borderId="179" xfId="0" applyFont="1" applyFill="1" applyBorder="1" applyAlignment="1" applyProtection="1">
      <alignment horizontal="center" vertical="center"/>
      <protection hidden="1"/>
    </xf>
    <xf numFmtId="0" fontId="37" fillId="14" borderId="178" xfId="0" applyFont="1" applyFill="1" applyBorder="1" applyAlignment="1" applyProtection="1">
      <alignment vertical="center" wrapText="1"/>
      <protection hidden="1"/>
    </xf>
    <xf numFmtId="0" fontId="37" fillId="14" borderId="72" xfId="0" applyFont="1" applyFill="1" applyBorder="1" applyAlignment="1" applyProtection="1">
      <alignment vertical="center" wrapText="1"/>
      <protection hidden="1"/>
    </xf>
    <xf numFmtId="0" fontId="37" fillId="14" borderId="180" xfId="0" applyFont="1" applyFill="1" applyBorder="1" applyAlignment="1" applyProtection="1">
      <alignment vertical="center" wrapText="1"/>
      <protection hidden="1"/>
    </xf>
    <xf numFmtId="0" fontId="37" fillId="14" borderId="181" xfId="0" applyFont="1" applyFill="1" applyBorder="1" applyAlignment="1" applyProtection="1">
      <alignment vertical="center" wrapText="1"/>
      <protection hidden="1"/>
    </xf>
    <xf numFmtId="0" fontId="37" fillId="14" borderId="0" xfId="0" applyFont="1" applyFill="1" applyAlignment="1" applyProtection="1">
      <alignment vertical="center" wrapText="1"/>
      <protection hidden="1"/>
    </xf>
    <xf numFmtId="0" fontId="37" fillId="14" borderId="1" xfId="0" applyFont="1" applyFill="1" applyBorder="1" applyAlignment="1" applyProtection="1">
      <alignment vertical="center" wrapText="1"/>
      <protection hidden="1"/>
    </xf>
    <xf numFmtId="0" fontId="36" fillId="15" borderId="181" xfId="0" applyFont="1" applyFill="1" applyBorder="1" applyAlignment="1" applyProtection="1">
      <alignment horizontal="center"/>
      <protection hidden="1"/>
    </xf>
    <xf numFmtId="0" fontId="36" fillId="15" borderId="0" xfId="0" applyFont="1" applyFill="1" applyAlignment="1" applyProtection="1">
      <alignment horizontal="center"/>
      <protection hidden="1"/>
    </xf>
    <xf numFmtId="0" fontId="36" fillId="15" borderId="1" xfId="0" applyFont="1" applyFill="1" applyBorder="1" applyAlignment="1" applyProtection="1">
      <alignment horizontal="center"/>
      <protection hidden="1"/>
    </xf>
    <xf numFmtId="0" fontId="36" fillId="153" borderId="134" xfId="0" applyFont="1" applyFill="1" applyBorder="1" applyAlignment="1" applyProtection="1">
      <alignment vertical="center" wrapText="1"/>
      <protection hidden="1"/>
    </xf>
    <xf numFmtId="0" fontId="36" fillId="153" borderId="16" xfId="0" applyFont="1" applyFill="1" applyBorder="1" applyAlignment="1" applyProtection="1">
      <alignment vertical="center" wrapText="1"/>
      <protection hidden="1"/>
    </xf>
    <xf numFmtId="0" fontId="37" fillId="14" borderId="16" xfId="0" applyFont="1" applyFill="1" applyBorder="1" applyAlignment="1" applyProtection="1">
      <alignment vertical="center" wrapText="1"/>
      <protection hidden="1"/>
    </xf>
    <xf numFmtId="0" fontId="37" fillId="14" borderId="103" xfId="0" applyFont="1" applyFill="1" applyBorder="1" applyAlignment="1" applyProtection="1">
      <alignment vertical="center" wrapText="1"/>
      <protection hidden="1"/>
    </xf>
    <xf numFmtId="0" fontId="36" fillId="5" borderId="134" xfId="0" applyFont="1" applyFill="1" applyBorder="1" applyAlignment="1" applyProtection="1">
      <alignment vertical="center" wrapText="1"/>
      <protection hidden="1"/>
    </xf>
    <xf numFmtId="0" fontId="36" fillId="5" borderId="16" xfId="0" applyFont="1" applyFill="1" applyBorder="1" applyAlignment="1" applyProtection="1">
      <alignment vertical="center" wrapText="1"/>
      <protection hidden="1"/>
    </xf>
    <xf numFmtId="0" fontId="36" fillId="154" borderId="134" xfId="0" applyFont="1" applyFill="1" applyBorder="1" applyAlignment="1" applyProtection="1">
      <alignment vertical="center" wrapText="1"/>
      <protection hidden="1"/>
    </xf>
    <xf numFmtId="0" fontId="36" fillId="154" borderId="16" xfId="0" applyFont="1" applyFill="1" applyBorder="1" applyAlignment="1" applyProtection="1">
      <alignment vertical="center" wrapText="1"/>
      <protection hidden="1"/>
    </xf>
    <xf numFmtId="0" fontId="36" fillId="155" borderId="183" xfId="0" applyFont="1" applyFill="1" applyBorder="1" applyAlignment="1" applyProtection="1">
      <alignment vertical="center" wrapText="1"/>
      <protection hidden="1"/>
    </xf>
    <xf numFmtId="0" fontId="36" fillId="155" borderId="182" xfId="0" applyFont="1" applyFill="1" applyBorder="1" applyAlignment="1" applyProtection="1">
      <alignment vertical="center" wrapText="1"/>
      <protection hidden="1"/>
    </xf>
    <xf numFmtId="0" fontId="37" fillId="14" borderId="182" xfId="0" applyFont="1" applyFill="1" applyBorder="1" applyAlignment="1" applyProtection="1">
      <alignment vertical="center" wrapText="1"/>
      <protection hidden="1"/>
    </xf>
    <xf numFmtId="0" fontId="37" fillId="14" borderId="184" xfId="0" applyFont="1" applyFill="1" applyBorder="1" applyAlignment="1" applyProtection="1">
      <alignment vertical="center" wrapText="1"/>
      <protection hidden="1"/>
    </xf>
    <xf numFmtId="0" fontId="38" fillId="14" borderId="134" xfId="2" applyFont="1" applyFill="1" applyBorder="1" applyAlignment="1" applyProtection="1">
      <alignment vertical="center" wrapText="1"/>
      <protection hidden="1"/>
    </xf>
    <xf numFmtId="0" fontId="38" fillId="14" borderId="16" xfId="0" applyFont="1" applyFill="1" applyBorder="1" applyAlignment="1" applyProtection="1">
      <alignment vertical="center" wrapText="1"/>
      <protection hidden="1"/>
    </xf>
    <xf numFmtId="0" fontId="38" fillId="14" borderId="186" xfId="2" applyFont="1" applyFill="1" applyBorder="1" applyAlignment="1" applyProtection="1">
      <alignment vertical="center" wrapText="1"/>
      <protection hidden="1"/>
    </xf>
    <xf numFmtId="0" fontId="38" fillId="14" borderId="19" xfId="0" applyFont="1" applyFill="1" applyBorder="1" applyAlignment="1" applyProtection="1">
      <alignment vertical="center" wrapText="1"/>
      <protection hidden="1"/>
    </xf>
    <xf numFmtId="0" fontId="37" fillId="14" borderId="19" xfId="0" applyFont="1" applyFill="1" applyBorder="1" applyAlignment="1" applyProtection="1">
      <alignment vertical="center" wrapText="1"/>
      <protection hidden="1"/>
    </xf>
    <xf numFmtId="0" fontId="37" fillId="14" borderId="95" xfId="0" applyFont="1" applyFill="1" applyBorder="1" applyAlignment="1" applyProtection="1">
      <alignment vertical="center" wrapText="1"/>
      <protection hidden="1"/>
    </xf>
    <xf numFmtId="0" fontId="38" fillId="14" borderId="187" xfId="2" applyFont="1" applyFill="1" applyBorder="1" applyAlignment="1" applyProtection="1">
      <alignment vertical="center" wrapText="1"/>
      <protection hidden="1"/>
    </xf>
    <xf numFmtId="0" fontId="38" fillId="14" borderId="185" xfId="0" applyFont="1" applyFill="1" applyBorder="1" applyAlignment="1" applyProtection="1">
      <alignment vertical="center" wrapText="1"/>
      <protection hidden="1"/>
    </xf>
    <xf numFmtId="0" fontId="37" fillId="14" borderId="185" xfId="0" applyFont="1" applyFill="1" applyBorder="1" applyAlignment="1" applyProtection="1">
      <alignment vertical="center" wrapText="1"/>
      <protection hidden="1"/>
    </xf>
    <xf numFmtId="0" fontId="37" fillId="14" borderId="188" xfId="0" applyFont="1" applyFill="1" applyBorder="1" applyAlignment="1" applyProtection="1">
      <alignment vertical="center" wrapText="1"/>
      <protection hidden="1"/>
    </xf>
    <xf numFmtId="0" fontId="36" fillId="152" borderId="177" xfId="0" applyFont="1" applyFill="1" applyBorder="1" applyAlignment="1" applyProtection="1">
      <alignment horizontal="center" vertical="center" wrapText="1"/>
      <protection hidden="1"/>
    </xf>
    <xf numFmtId="0" fontId="36" fillId="152" borderId="2" xfId="0" applyFont="1" applyFill="1" applyBorder="1" applyAlignment="1" applyProtection="1">
      <alignment horizontal="center" vertical="center" wrapText="1"/>
      <protection hidden="1"/>
    </xf>
    <xf numFmtId="0" fontId="36" fillId="152" borderId="179" xfId="0" applyFont="1" applyFill="1" applyBorder="1" applyAlignment="1" applyProtection="1">
      <alignment horizontal="center" vertical="center" wrapText="1"/>
      <protection hidden="1"/>
    </xf>
    <xf numFmtId="164" fontId="11" fillId="5" borderId="29" xfId="1" applyNumberFormat="1" applyFont="1" applyFill="1" applyBorder="1" applyAlignment="1" applyProtection="1">
      <alignment horizontal="center" vertical="center"/>
      <protection hidden="1"/>
    </xf>
    <xf numFmtId="164" fontId="11" fillId="5" borderId="48" xfId="1" applyNumberFormat="1" applyFont="1" applyFill="1" applyBorder="1" applyAlignment="1" applyProtection="1">
      <alignment horizontal="center" vertical="center"/>
      <protection hidden="1"/>
    </xf>
    <xf numFmtId="164" fontId="11" fillId="5" borderId="78" xfId="1" applyNumberFormat="1" applyFont="1" applyFill="1" applyBorder="1" applyAlignment="1" applyProtection="1">
      <alignment horizontal="center" vertical="center"/>
      <protection hidden="1"/>
    </xf>
    <xf numFmtId="164" fontId="11" fillId="5" borderId="77" xfId="1" applyNumberFormat="1" applyFont="1" applyFill="1" applyBorder="1" applyAlignment="1" applyProtection="1">
      <alignment horizontal="center" vertical="center"/>
      <protection hidden="1"/>
    </xf>
    <xf numFmtId="164" fontId="11" fillId="5" borderId="79" xfId="1" applyNumberFormat="1" applyFont="1" applyFill="1" applyBorder="1" applyAlignment="1" applyProtection="1">
      <alignment horizontal="center" vertical="center"/>
      <protection hidden="1"/>
    </xf>
    <xf numFmtId="164" fontId="11" fillId="5" borderId="66" xfId="1" applyNumberFormat="1" applyFont="1" applyFill="1" applyBorder="1" applyAlignment="1" applyProtection="1">
      <alignment horizontal="center" vertical="center"/>
      <protection hidden="1"/>
    </xf>
    <xf numFmtId="0" fontId="28" fillId="3" borderId="4" xfId="0" applyFont="1" applyFill="1" applyBorder="1" applyAlignment="1" applyProtection="1">
      <alignment horizontal="center" vertical="center"/>
      <protection hidden="1"/>
    </xf>
    <xf numFmtId="0" fontId="2" fillId="0" borderId="84" xfId="0" applyFont="1" applyBorder="1" applyAlignment="1" applyProtection="1">
      <alignment horizontal="center" vertical="center"/>
      <protection hidden="1"/>
    </xf>
    <xf numFmtId="0" fontId="19" fillId="4" borderId="166" xfId="0" applyFont="1" applyFill="1" applyBorder="1" applyAlignment="1" applyProtection="1">
      <alignment horizontal="center" vertical="center" textRotation="90"/>
      <protection hidden="1"/>
    </xf>
    <xf numFmtId="0" fontId="19" fillId="4" borderId="122" xfId="0" applyFont="1" applyFill="1" applyBorder="1" applyAlignment="1" applyProtection="1">
      <alignment horizontal="center" vertical="center" textRotation="90"/>
      <protection hidden="1"/>
    </xf>
    <xf numFmtId="0" fontId="19" fillId="4" borderId="167" xfId="0" applyFont="1" applyFill="1" applyBorder="1" applyAlignment="1" applyProtection="1">
      <alignment horizontal="center" vertical="center" textRotation="90"/>
      <protection hidden="1"/>
    </xf>
    <xf numFmtId="0" fontId="17" fillId="0" borderId="152" xfId="0" applyFont="1" applyBorder="1" applyAlignment="1" applyProtection="1">
      <alignment horizontal="center" vertical="center" wrapText="1"/>
      <protection hidden="1"/>
    </xf>
    <xf numFmtId="0" fontId="15" fillId="2" borderId="4" xfId="0" applyFont="1" applyFill="1" applyBorder="1" applyAlignment="1" applyProtection="1">
      <alignment horizontal="center" vertical="center" wrapText="1"/>
      <protection hidden="1"/>
    </xf>
    <xf numFmtId="0" fontId="15" fillId="2" borderId="5" xfId="0" applyFont="1" applyFill="1" applyBorder="1" applyAlignment="1" applyProtection="1">
      <alignment horizontal="center" vertical="center" wrapText="1"/>
      <protection hidden="1"/>
    </xf>
    <xf numFmtId="0" fontId="15" fillId="2" borderId="6" xfId="0" applyFont="1" applyFill="1" applyBorder="1" applyAlignment="1" applyProtection="1">
      <alignment horizontal="center" vertical="center" wrapText="1"/>
      <protection hidden="1"/>
    </xf>
    <xf numFmtId="0" fontId="10" fillId="8" borderId="139" xfId="0" applyFont="1" applyFill="1" applyBorder="1" applyAlignment="1" applyProtection="1">
      <alignment horizontal="center" vertical="center" wrapText="1"/>
      <protection hidden="1"/>
    </xf>
    <xf numFmtId="0" fontId="10" fillId="8" borderId="0" xfId="0" applyFont="1" applyFill="1" applyAlignment="1" applyProtection="1">
      <alignment horizontal="center" vertical="center" wrapText="1"/>
      <protection hidden="1"/>
    </xf>
    <xf numFmtId="0" fontId="18" fillId="12" borderId="31" xfId="0" applyFont="1" applyFill="1" applyBorder="1" applyAlignment="1" applyProtection="1">
      <alignment horizontal="center" vertical="center"/>
      <protection hidden="1"/>
    </xf>
    <xf numFmtId="0" fontId="18" fillId="12" borderId="5" xfId="0" applyFont="1" applyFill="1" applyBorder="1" applyAlignment="1" applyProtection="1">
      <alignment horizontal="center" vertical="center"/>
      <protection hidden="1"/>
    </xf>
    <xf numFmtId="0" fontId="18" fillId="12" borderId="6" xfId="0" applyFont="1" applyFill="1" applyBorder="1" applyAlignment="1" applyProtection="1">
      <alignment horizontal="center" vertical="center"/>
      <protection hidden="1"/>
    </xf>
    <xf numFmtId="0" fontId="4" fillId="150" borderId="32" xfId="0" applyFont="1" applyFill="1" applyBorder="1" applyAlignment="1" applyProtection="1">
      <alignment horizontal="center" vertical="center"/>
      <protection hidden="1"/>
    </xf>
    <xf numFmtId="0" fontId="4" fillId="150" borderId="0" xfId="0" applyFont="1" applyFill="1" applyAlignment="1" applyProtection="1">
      <alignment horizontal="center" vertical="center"/>
      <protection hidden="1"/>
    </xf>
    <xf numFmtId="0" fontId="4" fillId="150" borderId="18" xfId="0" applyFont="1" applyFill="1" applyBorder="1" applyAlignment="1" applyProtection="1">
      <alignment horizontal="center" vertical="center"/>
      <protection hidden="1"/>
    </xf>
    <xf numFmtId="0" fontId="4" fillId="149" borderId="32" xfId="0" applyFont="1" applyFill="1" applyBorder="1" applyAlignment="1" applyProtection="1">
      <alignment horizontal="center" vertical="center"/>
      <protection hidden="1"/>
    </xf>
    <xf numFmtId="0" fontId="4" fillId="149" borderId="0" xfId="0" applyFont="1" applyFill="1" applyAlignment="1" applyProtection="1">
      <alignment horizontal="center" vertical="center"/>
      <protection hidden="1"/>
    </xf>
    <xf numFmtId="0" fontId="4" fillId="149" borderId="18" xfId="0" applyFont="1" applyFill="1" applyBorder="1" applyAlignment="1" applyProtection="1">
      <alignment horizontal="center" vertical="center"/>
      <protection hidden="1"/>
    </xf>
    <xf numFmtId="0" fontId="9" fillId="151" borderId="50" xfId="0" applyFont="1" applyFill="1" applyBorder="1" applyAlignment="1" applyProtection="1">
      <alignment horizontal="center" vertical="center"/>
      <protection hidden="1"/>
    </xf>
    <xf numFmtId="0" fontId="9" fillId="151" borderId="3" xfId="0" applyFont="1" applyFill="1" applyBorder="1" applyAlignment="1" applyProtection="1">
      <alignment horizontal="center" vertical="center"/>
      <protection hidden="1"/>
    </xf>
    <xf numFmtId="0" fontId="9" fillId="151" borderId="35" xfId="0" applyFont="1" applyFill="1" applyBorder="1" applyAlignment="1" applyProtection="1">
      <alignment horizontal="center" vertical="center"/>
      <protection hidden="1"/>
    </xf>
    <xf numFmtId="0" fontId="20" fillId="13" borderId="83" xfId="0" applyFont="1" applyFill="1" applyBorder="1" applyAlignment="1" applyProtection="1">
      <alignment horizontal="center" vertical="center" textRotation="90"/>
      <protection hidden="1"/>
    </xf>
    <xf numFmtId="0" fontId="20" fillId="13" borderId="83" xfId="0" applyFont="1" applyFill="1" applyBorder="1" applyAlignment="1" applyProtection="1">
      <alignment horizontal="center" vertical="center"/>
      <protection hidden="1"/>
    </xf>
    <xf numFmtId="0" fontId="2" fillId="3" borderId="31" xfId="0" applyFont="1" applyFill="1" applyBorder="1" applyAlignment="1" applyProtection="1">
      <alignment horizontal="left" vertical="center" wrapText="1"/>
      <protection hidden="1"/>
    </xf>
    <xf numFmtId="0" fontId="2" fillId="3" borderId="5" xfId="0" applyFont="1" applyFill="1" applyBorder="1" applyAlignment="1" applyProtection="1">
      <alignment horizontal="left" vertical="center" wrapText="1"/>
      <protection hidden="1"/>
    </xf>
    <xf numFmtId="0" fontId="2" fillId="3" borderId="6" xfId="0" applyFont="1" applyFill="1" applyBorder="1" applyAlignment="1" applyProtection="1">
      <alignment horizontal="left" vertical="center" wrapText="1"/>
      <protection hidden="1"/>
    </xf>
    <xf numFmtId="0" fontId="2" fillId="3" borderId="18" xfId="0" applyFont="1" applyFill="1" applyBorder="1" applyAlignment="1" applyProtection="1">
      <alignment horizontal="left" vertical="center" wrapText="1"/>
      <protection hidden="1"/>
    </xf>
    <xf numFmtId="0" fontId="2" fillId="3" borderId="35" xfId="0" applyFont="1" applyFill="1" applyBorder="1" applyAlignment="1" applyProtection="1">
      <alignment horizontal="left" vertical="center" wrapText="1"/>
      <protection hidden="1"/>
    </xf>
    <xf numFmtId="0" fontId="25" fillId="5" borderId="34" xfId="0" applyFont="1" applyFill="1" applyBorder="1" applyAlignment="1" applyProtection="1">
      <alignment horizontal="center" vertical="center"/>
      <protection hidden="1"/>
    </xf>
    <xf numFmtId="0" fontId="25" fillId="5" borderId="55" xfId="0" applyFont="1" applyFill="1" applyBorder="1" applyAlignment="1" applyProtection="1">
      <alignment horizontal="center" vertical="center"/>
      <protection hidden="1"/>
    </xf>
    <xf numFmtId="0" fontId="30" fillId="12" borderId="94" xfId="0" applyFont="1" applyFill="1" applyBorder="1" applyAlignment="1" applyProtection="1">
      <alignment horizontal="center" vertical="center" wrapText="1"/>
      <protection hidden="1"/>
    </xf>
    <xf numFmtId="0" fontId="30" fillId="12" borderId="110" xfId="0" applyFont="1" applyFill="1" applyBorder="1" applyAlignment="1" applyProtection="1">
      <alignment horizontal="center" vertical="center" wrapText="1"/>
      <protection hidden="1"/>
    </xf>
    <xf numFmtId="0" fontId="30" fillId="12" borderId="112" xfId="0" applyFont="1" applyFill="1" applyBorder="1" applyAlignment="1" applyProtection="1">
      <alignment horizontal="center" vertical="center" wrapText="1"/>
      <protection hidden="1"/>
    </xf>
    <xf numFmtId="0" fontId="29" fillId="16" borderId="31" xfId="0" applyFont="1" applyFill="1" applyBorder="1" applyAlignment="1" applyProtection="1">
      <alignment horizontal="center" vertical="center"/>
      <protection hidden="1"/>
    </xf>
    <xf numFmtId="0" fontId="29" fillId="16" borderId="5" xfId="0" applyFont="1" applyFill="1" applyBorder="1" applyAlignment="1" applyProtection="1">
      <alignment horizontal="center" vertical="center"/>
      <protection hidden="1"/>
    </xf>
    <xf numFmtId="0" fontId="29" fillId="16" borderId="6" xfId="0" applyFont="1" applyFill="1" applyBorder="1" applyAlignment="1" applyProtection="1">
      <alignment horizontal="center" vertical="center"/>
      <protection hidden="1"/>
    </xf>
    <xf numFmtId="0" fontId="30" fillId="12" borderId="132" xfId="0" applyFont="1" applyFill="1" applyBorder="1" applyAlignment="1" applyProtection="1">
      <alignment horizontal="center" vertical="center" wrapText="1"/>
      <protection hidden="1"/>
    </xf>
    <xf numFmtId="0" fontId="30" fillId="12" borderId="90" xfId="0" applyFont="1" applyFill="1" applyBorder="1" applyAlignment="1" applyProtection="1">
      <alignment horizontal="center" vertical="center" wrapText="1"/>
      <protection hidden="1"/>
    </xf>
    <xf numFmtId="0" fontId="25" fillId="5" borderId="137" xfId="0" applyFont="1" applyFill="1" applyBorder="1" applyAlignment="1" applyProtection="1">
      <alignment horizontal="center" vertical="center"/>
      <protection hidden="1"/>
    </xf>
    <xf numFmtId="0" fontId="25" fillId="5" borderId="130" xfId="0" applyFont="1" applyFill="1" applyBorder="1" applyAlignment="1" applyProtection="1">
      <alignment horizontal="center" vertical="center"/>
      <protection hidden="1"/>
    </xf>
    <xf numFmtId="0" fontId="25" fillId="5" borderId="0" xfId="0" applyFont="1" applyFill="1" applyAlignment="1" applyProtection="1">
      <alignment horizontal="center" vertical="center"/>
      <protection hidden="1"/>
    </xf>
    <xf numFmtId="0" fontId="25" fillId="5" borderId="84" xfId="0" applyFont="1" applyFill="1" applyBorder="1" applyAlignment="1" applyProtection="1">
      <alignment horizontal="center" vertical="center"/>
      <protection hidden="1"/>
    </xf>
    <xf numFmtId="0" fontId="30" fillId="12" borderId="140" xfId="0" applyFont="1" applyFill="1" applyBorder="1" applyAlignment="1" applyProtection="1">
      <alignment horizontal="center" vertical="center" wrapText="1"/>
      <protection hidden="1"/>
    </xf>
    <xf numFmtId="0" fontId="30" fillId="12" borderId="141" xfId="0" applyFont="1" applyFill="1" applyBorder="1" applyAlignment="1" applyProtection="1">
      <alignment horizontal="center" vertical="center" wrapText="1"/>
      <protection hidden="1"/>
    </xf>
    <xf numFmtId="0" fontId="25" fillId="5" borderId="139" xfId="0" applyFont="1" applyFill="1" applyBorder="1" applyAlignment="1" applyProtection="1">
      <alignment horizontal="center" vertical="center"/>
      <protection hidden="1"/>
    </xf>
    <xf numFmtId="0" fontId="25" fillId="5" borderId="138" xfId="0" applyFont="1" applyFill="1" applyBorder="1" applyAlignment="1" applyProtection="1">
      <alignment horizontal="center" vertical="center"/>
      <protection hidden="1"/>
    </xf>
    <xf numFmtId="0" fontId="25" fillId="5" borderId="25" xfId="0" applyFont="1" applyFill="1" applyBorder="1" applyAlignment="1" applyProtection="1">
      <alignment horizontal="center" vertical="center"/>
      <protection hidden="1"/>
    </xf>
    <xf numFmtId="0" fontId="30" fillId="12" borderId="91" xfId="0" applyFont="1" applyFill="1" applyBorder="1" applyAlignment="1" applyProtection="1">
      <alignment horizontal="center" vertical="center" wrapText="1"/>
      <protection hidden="1"/>
    </xf>
    <xf numFmtId="0" fontId="30" fillId="12" borderId="88" xfId="0" applyFont="1" applyFill="1" applyBorder="1" applyAlignment="1" applyProtection="1">
      <alignment horizontal="center" vertical="center" wrapText="1"/>
      <protection hidden="1"/>
    </xf>
    <xf numFmtId="0" fontId="30" fillId="12" borderId="89" xfId="0" applyFont="1" applyFill="1" applyBorder="1" applyAlignment="1" applyProtection="1">
      <alignment horizontal="center" vertical="center" wrapText="1"/>
      <protection hidden="1"/>
    </xf>
    <xf numFmtId="0" fontId="10" fillId="8" borderId="3" xfId="0" applyFont="1" applyFill="1" applyBorder="1" applyAlignment="1" applyProtection="1">
      <alignment horizontal="center" vertical="center" wrapText="1"/>
      <protection hidden="1"/>
    </xf>
    <xf numFmtId="0" fontId="10" fillId="8" borderId="35" xfId="0" applyFont="1" applyFill="1" applyBorder="1" applyAlignment="1" applyProtection="1">
      <alignment horizontal="center" vertical="center" wrapText="1"/>
      <protection hidden="1"/>
    </xf>
    <xf numFmtId="0" fontId="30" fillId="12" borderId="118" xfId="0" applyFont="1" applyFill="1" applyBorder="1" applyAlignment="1" applyProtection="1">
      <alignment horizontal="center" vertical="center" wrapText="1"/>
      <protection hidden="1"/>
    </xf>
    <xf numFmtId="0" fontId="30" fillId="12" borderId="93" xfId="0" applyFont="1" applyFill="1" applyBorder="1" applyAlignment="1" applyProtection="1">
      <alignment horizontal="center" vertical="center" wrapText="1"/>
      <protection hidden="1"/>
    </xf>
    <xf numFmtId="0" fontId="30" fillId="12" borderId="85" xfId="0" applyFont="1" applyFill="1" applyBorder="1" applyAlignment="1" applyProtection="1">
      <alignment horizontal="center" vertical="center" wrapText="1"/>
      <protection hidden="1"/>
    </xf>
    <xf numFmtId="0" fontId="30" fillId="12" borderId="87" xfId="0" applyFont="1" applyFill="1" applyBorder="1" applyAlignment="1" applyProtection="1">
      <alignment horizontal="center" vertical="center" wrapText="1"/>
      <protection hidden="1"/>
    </xf>
    <xf numFmtId="0" fontId="25" fillId="5" borderId="23" xfId="0" applyFont="1" applyFill="1" applyBorder="1" applyAlignment="1" applyProtection="1">
      <alignment horizontal="center" vertical="center"/>
      <protection hidden="1"/>
    </xf>
    <xf numFmtId="0" fontId="25" fillId="5" borderId="135" xfId="0" applyFont="1" applyFill="1" applyBorder="1" applyAlignment="1" applyProtection="1">
      <alignment horizontal="center" vertical="center"/>
      <protection hidden="1"/>
    </xf>
    <xf numFmtId="0" fontId="30" fillId="12" borderId="86" xfId="0" applyFont="1" applyFill="1" applyBorder="1" applyAlignment="1" applyProtection="1">
      <alignment horizontal="center" vertical="center" wrapText="1"/>
      <protection hidden="1"/>
    </xf>
    <xf numFmtId="0" fontId="25" fillId="5" borderId="82" xfId="0" applyFont="1" applyFill="1" applyBorder="1" applyAlignment="1" applyProtection="1">
      <alignment horizontal="center" vertical="center"/>
      <protection hidden="1"/>
    </xf>
    <xf numFmtId="0" fontId="25" fillId="5" borderId="136" xfId="0" applyFont="1" applyFill="1" applyBorder="1" applyAlignment="1" applyProtection="1">
      <alignment horizontal="center" vertical="center"/>
      <protection hidden="1"/>
    </xf>
    <xf numFmtId="0" fontId="30" fillId="12" borderId="111" xfId="0" applyFont="1" applyFill="1" applyBorder="1" applyAlignment="1" applyProtection="1">
      <alignment horizontal="center" vertical="center" wrapText="1"/>
      <protection hidden="1"/>
    </xf>
    <xf numFmtId="0" fontId="0" fillId="5" borderId="0" xfId="0" applyFill="1" applyAlignment="1" applyProtection="1">
      <alignment horizontal="center"/>
      <protection hidden="1"/>
    </xf>
    <xf numFmtId="0" fontId="33" fillId="0" borderId="0" xfId="0" applyFont="1" applyAlignment="1" applyProtection="1">
      <alignment horizontal="left"/>
      <protection hidden="1"/>
    </xf>
    <xf numFmtId="0" fontId="7" fillId="3" borderId="69" xfId="2" applyFont="1" applyFill="1" applyBorder="1" applyAlignment="1" applyProtection="1">
      <alignment horizontal="center" vertical="center"/>
      <protection hidden="1"/>
    </xf>
    <xf numFmtId="0" fontId="7" fillId="3" borderId="18" xfId="2" applyFont="1" applyFill="1" applyBorder="1" applyAlignment="1" applyProtection="1">
      <alignment horizontal="center" vertical="center"/>
      <protection hidden="1"/>
    </xf>
    <xf numFmtId="0" fontId="2" fillId="3" borderId="32" xfId="0" applyFont="1" applyFill="1" applyBorder="1" applyAlignment="1" applyProtection="1">
      <alignment vertical="center" wrapText="1"/>
      <protection hidden="1"/>
    </xf>
  </cellXfs>
  <cellStyles count="3">
    <cellStyle name="Hiperlink" xfId="2" builtinId="8"/>
    <cellStyle name="Normal" xfId="0" builtinId="0"/>
    <cellStyle name="Porcentagem" xfId="1" builtinId="5"/>
  </cellStyles>
  <dxfs count="43">
    <dxf>
      <fill>
        <patternFill patternType="solid">
          <fgColor indexed="64"/>
          <bgColor rgb="FFF8696B"/>
        </patternFill>
      </fill>
    </dxf>
    <dxf>
      <fill>
        <patternFill patternType="solid">
          <fgColor indexed="64"/>
          <bgColor rgb="FFF86D6C"/>
        </patternFill>
      </fill>
    </dxf>
    <dxf>
      <fill>
        <patternFill patternType="solid">
          <fgColor indexed="64"/>
          <bgColor rgb="FFF9746D"/>
        </patternFill>
      </fill>
    </dxf>
    <dxf>
      <fill>
        <patternFill patternType="solid">
          <fgColor indexed="64"/>
          <bgColor rgb="FFFA7C6E"/>
        </patternFill>
      </fill>
    </dxf>
    <dxf>
      <fill>
        <patternFill patternType="solid">
          <fgColor indexed="64"/>
          <bgColor rgb="FFFB8370"/>
        </patternFill>
      </fill>
    </dxf>
    <dxf>
      <fill>
        <patternFill patternType="solid">
          <fgColor indexed="64"/>
          <bgColor rgb="FFFC8971"/>
        </patternFill>
      </fill>
    </dxf>
    <dxf>
      <fill>
        <patternFill patternType="solid">
          <fgColor indexed="64"/>
          <bgColor rgb="FFFD9072"/>
        </patternFill>
      </fill>
    </dxf>
    <dxf>
      <fill>
        <patternFill patternType="solid">
          <fgColor indexed="64"/>
          <bgColor rgb="FFFD9773"/>
        </patternFill>
      </fill>
    </dxf>
    <dxf>
      <fill>
        <patternFill patternType="solid">
          <fgColor indexed="64"/>
          <bgColor rgb="FFFE9D75"/>
        </patternFill>
      </fill>
    </dxf>
    <dxf>
      <fill>
        <patternFill patternType="solid">
          <fgColor indexed="64"/>
          <bgColor rgb="FFFEA476"/>
        </patternFill>
      </fill>
    </dxf>
    <dxf>
      <fill>
        <patternFill patternType="solid">
          <fgColor indexed="64"/>
          <bgColor rgb="FFFFAA77"/>
        </patternFill>
      </fill>
    </dxf>
    <dxf>
      <fill>
        <patternFill patternType="solid">
          <fgColor indexed="64"/>
          <bgColor rgb="FFFFB178"/>
        </patternFill>
      </fill>
    </dxf>
    <dxf>
      <fill>
        <patternFill patternType="solid">
          <fgColor indexed="64"/>
          <bgColor rgb="FFFFB77A"/>
        </patternFill>
      </fill>
    </dxf>
    <dxf>
      <fill>
        <patternFill patternType="solid">
          <fgColor indexed="64"/>
          <bgColor rgb="FFFFBD7B"/>
        </patternFill>
      </fill>
    </dxf>
    <dxf>
      <fill>
        <patternFill patternType="solid">
          <fgColor indexed="64"/>
          <bgColor rgb="FFFFC37C"/>
        </patternFill>
      </fill>
    </dxf>
    <dxf>
      <fill>
        <patternFill patternType="solid">
          <fgColor indexed="64"/>
          <bgColor rgb="FFFFC97D"/>
        </patternFill>
      </fill>
    </dxf>
    <dxf>
      <fill>
        <patternFill patternType="solid">
          <fgColor indexed="64"/>
          <bgColor rgb="FFFFD07F"/>
        </patternFill>
      </fill>
    </dxf>
    <dxf>
      <fill>
        <patternFill patternType="solid">
          <fgColor indexed="64"/>
          <bgColor rgb="FFFFD680"/>
        </patternFill>
      </fill>
    </dxf>
    <dxf>
      <fill>
        <patternFill patternType="solid">
          <fgColor indexed="64"/>
          <bgColor rgb="FFFFDC81"/>
        </patternFill>
      </fill>
    </dxf>
    <dxf>
      <fill>
        <patternFill patternType="solid">
          <fgColor indexed="64"/>
          <bgColor rgb="FFFFE282"/>
        </patternFill>
      </fill>
    </dxf>
    <dxf>
      <fill>
        <patternFill patternType="solid">
          <fgColor indexed="64"/>
          <bgColor rgb="FFFFE883"/>
        </patternFill>
      </fill>
    </dxf>
    <dxf>
      <fill>
        <patternFill patternType="solid">
          <fgColor indexed="64"/>
          <bgColor rgb="FFFBEA84"/>
        </patternFill>
      </fill>
    </dxf>
    <dxf>
      <fill>
        <patternFill patternType="solid">
          <fgColor indexed="64"/>
          <bgColor rgb="FFF4E883"/>
        </patternFill>
      </fill>
    </dxf>
    <dxf>
      <fill>
        <patternFill patternType="solid">
          <fgColor indexed="64"/>
          <bgColor rgb="FFEDE683"/>
        </patternFill>
      </fill>
    </dxf>
    <dxf>
      <fill>
        <patternFill patternType="solid">
          <fgColor indexed="64"/>
          <bgColor rgb="FFE6E483"/>
        </patternFill>
      </fill>
    </dxf>
    <dxf>
      <fill>
        <patternFill patternType="solid">
          <fgColor indexed="64"/>
          <bgColor rgb="FFDFE182"/>
        </patternFill>
      </fill>
    </dxf>
    <dxf>
      <fill>
        <patternFill patternType="solid">
          <fgColor indexed="64"/>
          <bgColor rgb="FFD8DF82"/>
        </patternFill>
      </fill>
    </dxf>
    <dxf>
      <fill>
        <patternFill patternType="solid">
          <fgColor indexed="64"/>
          <bgColor rgb="FFD0DD81"/>
        </patternFill>
      </fill>
    </dxf>
    <dxf>
      <fill>
        <patternFill patternType="solid">
          <fgColor indexed="64"/>
          <bgColor rgb="FFC9DB81"/>
        </patternFill>
      </fill>
    </dxf>
    <dxf>
      <fill>
        <patternFill patternType="solid">
          <fgColor indexed="64"/>
          <bgColor rgb="FFC2D980"/>
        </patternFill>
      </fill>
    </dxf>
    <dxf>
      <fill>
        <patternFill patternType="solid">
          <fgColor indexed="64"/>
          <bgColor rgb="FFBAD680"/>
        </patternFill>
      </fill>
    </dxf>
    <dxf>
      <fill>
        <patternFill patternType="solid">
          <fgColor indexed="64"/>
          <bgColor rgb="FFB3D480"/>
        </patternFill>
      </fill>
    </dxf>
    <dxf>
      <fill>
        <patternFill patternType="solid">
          <fgColor indexed="64"/>
          <bgColor rgb="FFABD27F"/>
        </patternFill>
      </fill>
    </dxf>
    <dxf>
      <fill>
        <patternFill patternType="solid">
          <fgColor indexed="64"/>
          <bgColor rgb="FFA3D07F"/>
        </patternFill>
      </fill>
    </dxf>
    <dxf>
      <fill>
        <patternFill patternType="solid">
          <fgColor indexed="64"/>
          <bgColor rgb="FF9CCD7E"/>
        </patternFill>
      </fill>
    </dxf>
    <dxf>
      <fill>
        <patternFill patternType="solid">
          <fgColor indexed="64"/>
          <bgColor rgb="FF94CB7E"/>
        </patternFill>
      </fill>
    </dxf>
    <dxf>
      <fill>
        <patternFill patternType="solid">
          <fgColor indexed="64"/>
          <bgColor rgb="FF8BC97D"/>
        </patternFill>
      </fill>
    </dxf>
    <dxf>
      <fill>
        <patternFill patternType="solid">
          <fgColor indexed="64"/>
          <bgColor rgb="FF83C67D"/>
        </patternFill>
      </fill>
    </dxf>
    <dxf>
      <fill>
        <patternFill patternType="solid">
          <fgColor indexed="64"/>
          <bgColor rgb="FF7AC47C"/>
        </patternFill>
      </fill>
    </dxf>
    <dxf>
      <fill>
        <patternFill patternType="solid">
          <fgColor indexed="64"/>
          <bgColor rgb="FF71C27C"/>
        </patternFill>
      </fill>
    </dxf>
    <dxf>
      <fill>
        <patternFill patternType="solid">
          <fgColor indexed="64"/>
          <bgColor rgb="FF68BF7B"/>
        </patternFill>
      </fill>
    </dxf>
    <dxf>
      <font>
        <b/>
        <i val="0"/>
      </font>
    </dxf>
    <dxf>
      <fill>
        <patternFill patternType="solid">
          <fgColor indexed="64"/>
          <bgColor rgb="FFF1F3F5"/>
        </patternFill>
      </fill>
    </dxf>
  </dxfs>
  <tableStyles count="0" defaultTableStyle="TableStyleMedium2" defaultPivotStyle="PivotStyleLight16"/>
  <colors>
    <mruColors>
      <color rgb="FFFFFFDC"/>
      <color rgb="FF0066FF"/>
      <color rgb="FF000000"/>
      <color rgb="FFEAF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206829</xdr:colOff>
      <xdr:row>1</xdr:row>
      <xdr:rowOff>48987</xdr:rowOff>
    </xdr:from>
    <xdr:ext cx="1328456" cy="1452153"/>
    <xdr:pic>
      <xdr:nvPicPr>
        <xdr:cNvPr id="2" name="Picture 1">
          <a:extLst>
            <a:ext uri="{FF2B5EF4-FFF2-40B4-BE49-F238E27FC236}">
              <a16:creationId xmlns:a16="http://schemas.microsoft.com/office/drawing/2014/main" id="{6C70B838-AE97-48CF-82F1-267E5C427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29" y="231867"/>
          <a:ext cx="1328456" cy="1452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305890</xdr:colOff>
      <xdr:row>1</xdr:row>
      <xdr:rowOff>48987</xdr:rowOff>
    </xdr:from>
    <xdr:ext cx="1328456" cy="1452153"/>
    <xdr:pic>
      <xdr:nvPicPr>
        <xdr:cNvPr id="2" name="Imagem 1">
          <a:extLst>
            <a:ext uri="{FF2B5EF4-FFF2-40B4-BE49-F238E27FC236}">
              <a16:creationId xmlns:a16="http://schemas.microsoft.com/office/drawing/2014/main" id="{CE3A5FB0-BEB3-4A2F-937D-32469E769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730" y="231867"/>
          <a:ext cx="1328456" cy="1452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305890</xdr:colOff>
      <xdr:row>1</xdr:row>
      <xdr:rowOff>48987</xdr:rowOff>
    </xdr:from>
    <xdr:ext cx="1328456" cy="1452153"/>
    <xdr:pic>
      <xdr:nvPicPr>
        <xdr:cNvPr id="2" name="Imagem 1">
          <a:extLst>
            <a:ext uri="{FF2B5EF4-FFF2-40B4-BE49-F238E27FC236}">
              <a16:creationId xmlns:a16="http://schemas.microsoft.com/office/drawing/2014/main" id="{3E98D445-57E9-4779-9035-AD5DECCCB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730" y="231867"/>
          <a:ext cx="1328456" cy="1452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45720</xdr:rowOff>
    </xdr:from>
    <xdr:ext cx="1328456" cy="1452153"/>
    <xdr:pic>
      <xdr:nvPicPr>
        <xdr:cNvPr id="2" name="Imagem 1">
          <a:extLst>
            <a:ext uri="{FF2B5EF4-FFF2-40B4-BE49-F238E27FC236}">
              <a16:creationId xmlns:a16="http://schemas.microsoft.com/office/drawing/2014/main" id="{7F77E0E4-BDF8-4016-92F3-9F2532F29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28600"/>
          <a:ext cx="1328456" cy="1452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121920</xdr:colOff>
      <xdr:row>1</xdr:row>
      <xdr:rowOff>38100</xdr:rowOff>
    </xdr:from>
    <xdr:ext cx="1328456" cy="1452153"/>
    <xdr:pic>
      <xdr:nvPicPr>
        <xdr:cNvPr id="2" name="Imagem 1">
          <a:extLst>
            <a:ext uri="{FF2B5EF4-FFF2-40B4-BE49-F238E27FC236}">
              <a16:creationId xmlns:a16="http://schemas.microsoft.com/office/drawing/2014/main" id="{471ECF9F-47B6-4A6C-BA5A-CF4F588DE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" y="220980"/>
          <a:ext cx="1328456" cy="1452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121920</xdr:colOff>
      <xdr:row>1</xdr:row>
      <xdr:rowOff>38101</xdr:rowOff>
    </xdr:from>
    <xdr:ext cx="1328456" cy="1478280"/>
    <xdr:pic>
      <xdr:nvPicPr>
        <xdr:cNvPr id="2" name="Imagem 1">
          <a:extLst>
            <a:ext uri="{FF2B5EF4-FFF2-40B4-BE49-F238E27FC236}">
              <a16:creationId xmlns:a16="http://schemas.microsoft.com/office/drawing/2014/main" id="{B90A33BB-8069-4ACC-A78E-D0FF9561A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" y="220981"/>
          <a:ext cx="1328456" cy="1478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152400</xdr:colOff>
      <xdr:row>86</xdr:row>
      <xdr:rowOff>175260</xdr:rowOff>
    </xdr:from>
    <xdr:to>
      <xdr:col>11</xdr:col>
      <xdr:colOff>220980</xdr:colOff>
      <xdr:row>91</xdr:row>
      <xdr:rowOff>7620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8AB70E9D-A657-413F-92C7-6EB695FD8C64}"/>
                </a:ext>
              </a:extLst>
            </xdr:cNvPr>
            <xdr:cNvSpPr txBox="1"/>
          </xdr:nvSpPr>
          <xdr:spPr>
            <a:xfrm>
              <a:off x="2590800" y="15902940"/>
              <a:ext cx="4335780" cy="746760"/>
            </a:xfrm>
            <a:prstGeom prst="rect">
              <a:avLst/>
            </a:prstGeom>
            <a:noFill/>
          </xdr:spPr>
          <xdr:txBody>
            <a:bodyPr wrap="square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pt-BR" sz="20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t-BR" sz="20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pt-BR" sz="200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20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limLoc m:val="undOvr"/>
                            <m:ctrlPr>
                              <a:rPr lang="pt-BR" sz="2000" b="1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pt-BR" sz="2000" b="1" i="1">
                                <a:latin typeface="Cambria Math" panose="02040503050406030204" pitchFamily="18" charset="0"/>
                              </a:rPr>
                              <m:t>𝒋</m:t>
                            </m:r>
                            <m:r>
                              <a:rPr lang="pt-BR" sz="2000" b="1" i="0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t-BR" sz="2000" b="1" i="0"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  <m:sup>
                            <m:sSub>
                              <m:sSubPr>
                                <m:ctrlPr>
                                  <a:rPr lang="pt-BR" sz="20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sz="2000" b="1" i="1">
                                    <a:latin typeface="Cambria Math" panose="02040503050406030204" pitchFamily="18" charset="0"/>
                                  </a:rPr>
                                  <m:t>𝑵</m:t>
                                </m:r>
                              </m:e>
                              <m:sub>
                                <m:r>
                                  <a:rPr lang="pt-BR" sz="2000" b="1" i="1">
                                    <a:latin typeface="Cambria Math" panose="02040503050406030204" pitchFamily="18" charset="0"/>
                                  </a:rPr>
                                  <m:t>𝒊</m:t>
                                </m:r>
                              </m:sub>
                            </m:sSub>
                          </m:sup>
                          <m:e>
                            <m:r>
                              <a:rPr lang="pt-BR" sz="2000" b="1" i="0">
                                <a:latin typeface="Cambria Math" panose="02040503050406030204" pitchFamily="18" charset="0"/>
                              </a:rPr>
                              <m:t>𝟏</m:t>
                            </m:r>
                            <m:d>
                              <m:dPr>
                                <m:ctrlPr>
                                  <a:rPr lang="pt-BR" sz="20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d>
                                  <m:dPr>
                                    <m:begChr m:val="|"/>
                                    <m:endChr m:val="|"/>
                                    <m:ctrlPr>
                                      <a:rPr lang="pt-BR" sz="20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pt-BR" sz="2000" b="1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t-BR" sz="2000" b="1" i="1">
                                            <a:latin typeface="Cambria Math" panose="02040503050406030204" pitchFamily="18" charset="0"/>
                                          </a:rPr>
                                          <m:t>𝑫</m:t>
                                        </m:r>
                                      </m:e>
                                      <m:sub>
                                        <m:r>
                                          <a:rPr lang="pt-BR" sz="2000" b="1" i="1">
                                            <a:latin typeface="Cambria Math" panose="02040503050406030204" pitchFamily="18" charset="0"/>
                                          </a:rPr>
                                          <m:t>𝑹𝑳</m:t>
                                        </m:r>
                                        <m:r>
                                          <a:rPr lang="pt-BR" sz="2000" b="1" i="0">
                                            <a:latin typeface="Cambria Math" panose="02040503050406030204" pitchFamily="18" charset="0"/>
                                          </a:rPr>
                                          <m:t>,</m:t>
                                        </m:r>
                                        <m:r>
                                          <a:rPr lang="pt-BR" sz="2000" b="1" i="1">
                                            <a:latin typeface="Cambria Math" panose="02040503050406030204" pitchFamily="18" charset="0"/>
                                          </a:rPr>
                                          <m:t>𝒊𝒋</m:t>
                                        </m:r>
                                      </m:sub>
                                    </m:sSub>
                                    <m:r>
                                      <a:rPr lang="pt-BR" sz="2000" b="1" i="0">
                                        <a:latin typeface="Cambria Math" panose="02040503050406030204" pitchFamily="18" charset="0"/>
                                      </a:rPr>
                                      <m:t> </m:t>
                                    </m:r>
                                    <m:r>
                                      <a:rPr lang="pt-BR" sz="2000" b="1" i="1">
                                        <a:latin typeface="Cambria Math" panose="02040503050406030204" pitchFamily="18" charset="0"/>
                                      </a:rPr>
                                      <m:t>𝒊𝒏𝒅𝒆𝒙</m:t>
                                    </m:r>
                                  </m:e>
                                </m:d>
                                <m:r>
                                  <a:rPr lang="pt-BR" sz="2000" b="1" i="0">
                                    <a:latin typeface="Cambria Math" panose="02040503050406030204" pitchFamily="18" charset="0"/>
                                  </a:rPr>
                                  <m:t>≤</m:t>
                                </m:r>
                                <m:r>
                                  <a:rPr lang="pt-BR" sz="2000" b="1" i="0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e>
                            </m:d>
                          </m:e>
                        </m:nary>
                      </m:num>
                      <m:den>
                        <m:sSub>
                          <m:sSubPr>
                            <m:ctrlPr>
                              <a:rPr lang="pt-BR" sz="2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t-BR" sz="2000" b="1" i="1">
                                <a:latin typeface="Cambria Math" panose="02040503050406030204" pitchFamily="18" charset="0"/>
                              </a:rPr>
                              <m:t>𝑵</m:t>
                            </m:r>
                          </m:e>
                          <m:sub>
                            <m:r>
                              <a:rPr lang="pt-BR" sz="2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pt-BR" sz="2000" b="1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8AB70E9D-A657-413F-92C7-6EB695FD8C64}"/>
                </a:ext>
              </a:extLst>
            </xdr:cNvPr>
            <xdr:cNvSpPr txBox="1"/>
          </xdr:nvSpPr>
          <xdr:spPr>
            <a:xfrm>
              <a:off x="2590800" y="15902940"/>
              <a:ext cx="4335780" cy="746760"/>
            </a:xfrm>
            <a:prstGeom prst="rect">
              <a:avLst/>
            </a:prstGeom>
            <a:noFill/>
          </xdr:spPr>
          <xdr:txBody>
            <a:bodyPr wrap="square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2000" b="1" i="0">
                  <a:latin typeface="Cambria Math" panose="02040503050406030204" pitchFamily="18" charset="0"/>
                </a:rPr>
                <a:t>𝒅_(𝟏,𝒊)=(∑1_(𝒋=𝟏)^(𝑵_𝒊)▒𝟏(|𝑫_(𝑹𝑳,𝒊𝒋)  𝒊𝒏𝒅𝒆𝒙|≤𝟏) )/𝑵_𝒊 </a:t>
              </a:r>
              <a:endParaRPr lang="pt-BR" sz="2000" b="1"/>
            </a:p>
          </xdr:txBody>
        </xdr:sp>
      </mc:Fallback>
    </mc:AlternateContent>
    <xdr:clientData/>
  </xdr:twoCellAnchor>
  <xdr:twoCellAnchor>
    <xdr:from>
      <xdr:col>4</xdr:col>
      <xdr:colOff>266700</xdr:colOff>
      <xdr:row>98</xdr:row>
      <xdr:rowOff>99061</xdr:rowOff>
    </xdr:from>
    <xdr:to>
      <xdr:col>11</xdr:col>
      <xdr:colOff>129540</xdr:colOff>
      <xdr:row>105</xdr:row>
      <xdr:rowOff>22861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E821EC56-599D-483B-B661-EC43E0F18362}"/>
                </a:ext>
              </a:extLst>
            </xdr:cNvPr>
            <xdr:cNvSpPr txBox="1"/>
          </xdr:nvSpPr>
          <xdr:spPr>
            <a:xfrm>
              <a:off x="2705100" y="18021301"/>
              <a:ext cx="4130040" cy="1203960"/>
            </a:xfrm>
            <a:prstGeom prst="rect">
              <a:avLst/>
            </a:prstGeom>
            <a:noFill/>
          </xdr:spPr>
          <xdr:txBody>
            <a:bodyPr wrap="square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pt-BR" sz="20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t-BR" sz="20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pt-BR" sz="200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2000" b="1" i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pt-BR" sz="2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limLoc m:val="undOvr"/>
                                <m:ctrlPr>
                                  <a:rPr lang="pt-BR" sz="2000" b="1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pt-BR" sz="2000" b="1" i="1">
                                    <a:latin typeface="Cambria Math" panose="02040503050406030204" pitchFamily="18" charset="0"/>
                                  </a:rPr>
                                  <m:t>𝒋</m:t>
                                </m:r>
                                <m:r>
                                  <a:rPr lang="pt-BR" sz="2000" b="1" i="0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t-BR" sz="2000" b="1" i="0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  <m:sup>
                                <m:sSub>
                                  <m:sSubPr>
                                    <m:ctrlPr>
                                      <a:rPr lang="pt-BR" sz="20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2000" b="1" i="1">
                                        <a:latin typeface="Cambria Math" panose="02040503050406030204" pitchFamily="18" charset="0"/>
                                      </a:rPr>
                                      <m:t>𝑵</m:t>
                                    </m:r>
                                  </m:e>
                                  <m:sub>
                                    <m:r>
                                      <a:rPr lang="pt-BR" sz="2000" b="1" i="1">
                                        <a:latin typeface="Cambria Math" panose="02040503050406030204" pitchFamily="18" charset="0"/>
                                      </a:rPr>
                                      <m:t>𝒊</m:t>
                                    </m:r>
                                  </m:sub>
                                </m:sSub>
                              </m:sup>
                              <m:e>
                                <m:d>
                                  <m:dPr>
                                    <m:begChr m:val="|"/>
                                    <m:endChr m:val="|"/>
                                    <m:ctrlPr>
                                      <a:rPr lang="pt-BR" sz="20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pt-BR" sz="2000" b="1" i="0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t-BR" sz="2000" b="1" i="0">
                                            <a:latin typeface="Cambria Math" panose="02040503050406030204" pitchFamily="18" charset="0"/>
                                          </a:rPr>
                                          <m:t>𝐃</m:t>
                                        </m:r>
                                      </m:e>
                                      <m:sub>
                                        <m:r>
                                          <a:rPr lang="pt-BR" sz="2000" b="1" i="0">
                                            <a:latin typeface="Cambria Math" panose="02040503050406030204" pitchFamily="18" charset="0"/>
                                          </a:rPr>
                                          <m:t>𝐑𝐋</m:t>
                                        </m:r>
                                        <m:r>
                                          <a:rPr lang="pt-BR" sz="2000" b="1" i="0">
                                            <a:latin typeface="Cambria Math" panose="02040503050406030204" pitchFamily="18" charset="0"/>
                                          </a:rPr>
                                          <m:t>,</m:t>
                                        </m:r>
                                        <m:r>
                                          <a:rPr lang="pt-BR" sz="2000" b="1" i="0">
                                            <a:latin typeface="Cambria Math" panose="02040503050406030204" pitchFamily="18" charset="0"/>
                                          </a:rPr>
                                          <m:t>𝐢𝐣</m:t>
                                        </m:r>
                                      </m:sub>
                                    </m:sSub>
                                    <m:r>
                                      <a:rPr lang="pt-BR" sz="2000" b="1" i="0">
                                        <a:latin typeface="Cambria Math" panose="02040503050406030204" pitchFamily="18" charset="0"/>
                                      </a:rPr>
                                      <m:t> </m:t>
                                    </m:r>
                                    <m:r>
                                      <a:rPr lang="pt-BR" sz="2000" b="1" i="1">
                                        <a:latin typeface="Cambria Math" panose="02040503050406030204" pitchFamily="18" charset="0"/>
                                      </a:rPr>
                                      <m:t>𝒊𝒏𝒅𝒆𝒙</m:t>
                                    </m:r>
                                  </m:e>
                                </m:d>
                              </m:e>
                            </m:nary>
                          </m:num>
                          <m:den>
                            <m:sSub>
                              <m:sSubPr>
                                <m:ctrlPr>
                                  <a:rPr lang="pt-BR" sz="20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t-BR" sz="2000" b="1" i="1">
                                    <a:latin typeface="Cambria Math" panose="02040503050406030204" pitchFamily="18" charset="0"/>
                                  </a:rPr>
                                  <m:t>𝑵</m:t>
                                </m:r>
                              </m:e>
                              <m:sub>
                                <m:r>
                                  <a:rPr lang="pt-BR" sz="2000" b="1" i="1">
                                    <a:latin typeface="Cambria Math" panose="02040503050406030204" pitchFamily="18" charset="0"/>
                                  </a:rPr>
                                  <m:t>𝒊</m:t>
                                </m:r>
                              </m:sub>
                            </m:sSub>
                          </m:den>
                        </m:f>
                      </m:den>
                    </m:f>
                  </m:oMath>
                </m:oMathPara>
              </a14:m>
              <a:endParaRPr lang="pt-BR" sz="2000" b="1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E821EC56-599D-483B-B661-EC43E0F18362}"/>
                </a:ext>
              </a:extLst>
            </xdr:cNvPr>
            <xdr:cNvSpPr txBox="1"/>
          </xdr:nvSpPr>
          <xdr:spPr>
            <a:xfrm>
              <a:off x="2705100" y="18021301"/>
              <a:ext cx="4130040" cy="1203960"/>
            </a:xfrm>
            <a:prstGeom prst="rect">
              <a:avLst/>
            </a:prstGeom>
            <a:noFill/>
          </xdr:spPr>
          <xdr:txBody>
            <a:bodyPr wrap="square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2000" b="1" i="0">
                  <a:latin typeface="Cambria Math" panose="02040503050406030204" pitchFamily="18" charset="0"/>
                </a:rPr>
                <a:t>𝒅_(𝟐,𝒊)=𝟏/(𝟏+(∑1_(𝒋=𝟏)^(𝑵_𝒊)▒|𝐃_(𝐑𝐋,𝐢𝐣)  𝒊𝒏𝒅𝒆𝒙| )/𝑵_𝒊 )</a:t>
              </a:r>
              <a:endParaRPr lang="pt-BR" sz="2000" b="1"/>
            </a:p>
          </xdr:txBody>
        </xdr:sp>
      </mc:Fallback>
    </mc:AlternateContent>
    <xdr:clientData/>
  </xdr:twoCellAnchor>
  <xdr:twoCellAnchor>
    <xdr:from>
      <xdr:col>3</xdr:col>
      <xdr:colOff>205740</xdr:colOff>
      <xdr:row>111</xdr:row>
      <xdr:rowOff>129540</xdr:rowOff>
    </xdr:from>
    <xdr:to>
      <xdr:col>13</xdr:col>
      <xdr:colOff>60629</xdr:colOff>
      <xdr:row>116</xdr:row>
      <xdr:rowOff>1124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2">
              <a:extLst>
                <a:ext uri="{FF2B5EF4-FFF2-40B4-BE49-F238E27FC236}">
                  <a16:creationId xmlns:a16="http://schemas.microsoft.com/office/drawing/2014/main" id="{929C2DAD-CC5F-4380-A669-E10B1B4D7F1E}"/>
                </a:ext>
              </a:extLst>
            </xdr:cNvPr>
            <xdr:cNvSpPr txBox="1"/>
          </xdr:nvSpPr>
          <xdr:spPr>
            <a:xfrm>
              <a:off x="2034540" y="20429220"/>
              <a:ext cx="5950889" cy="785984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pt-BR" sz="20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t-BR" sz="20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pt-BR" sz="200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2000" b="1" i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pt-BR" sz="2000" b="1" i="1">
                            <a:latin typeface="Cambria Math" panose="02040503050406030204" pitchFamily="18" charset="0"/>
                          </a:rPr>
                          <m:t>𝒎𝒂𝒙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pt-BR" sz="20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m>
                              <m:mPr>
                                <m:plcHide m:val="on"/>
                                <m:mcs>
                                  <m:mc>
                                    <m:mcPr>
                                      <m:count m:val="2"/>
                                      <m:mcJc m:val="center"/>
                                    </m:mcPr>
                                  </m:mc>
                                </m:mcs>
                                <m:ctrlPr>
                                  <a:rPr lang="pt-BR" sz="2000" b="1" i="1">
                                    <a:latin typeface="Cambria Math" panose="02040503050406030204" pitchFamily="18" charset="0"/>
                                  </a:rPr>
                                </m:ctrlPr>
                              </m:mPr>
                              <m:mr>
                                <m:e>
                                  <m:r>
                                    <a:rPr lang="pt-BR" sz="2000" b="1" i="0">
                                      <a:latin typeface="Cambria Math" panose="02040503050406030204" pitchFamily="18" charset="0"/>
                                    </a:rPr>
                                    <m:t>𝟎</m:t>
                                  </m:r>
                                  <m:r>
                                    <a:rPr lang="pt-BR" sz="2000" b="1" i="0">
                                      <a:latin typeface="Cambria Math" panose="02040503050406030204" pitchFamily="18" charset="0"/>
                                    </a:rPr>
                                    <m:t>,</m:t>
                                  </m:r>
                                </m:e>
                                <m:e>
                                  <m:sSub>
                                    <m:sSubPr>
                                      <m:ctrlPr>
                                        <a:rPr lang="pt-BR" sz="2000" b="1" i="1">
                                          <a:latin typeface="Cambria Math" panose="02040503050406030204" pitchFamily="18" charset="0"/>
                                        </a:rPr>
                                      </m:ctrlPr>
                                    </m:sSubPr>
                                    <m:e>
                                      <m:r>
                                        <a:rPr lang="pt-BR" sz="2000" b="1" i="1">
                                          <a:latin typeface="Cambria Math" panose="02040503050406030204" pitchFamily="18" charset="0"/>
                                        </a:rPr>
                                        <m:t>𝑷</m:t>
                                      </m:r>
                                    </m:e>
                                    <m:sub>
                                      <m:r>
                                        <a:rPr lang="pt-BR" sz="2000" b="1" i="0">
                                          <a:latin typeface="Cambria Math" panose="02040503050406030204" pitchFamily="18" charset="0"/>
                                        </a:rPr>
                                        <m:t>𝟗𝟎</m:t>
                                      </m:r>
                                      <m:r>
                                        <a:rPr lang="pt-BR" sz="2000" b="1" i="0">
                                          <a:latin typeface="Cambria Math" panose="02040503050406030204" pitchFamily="18" charset="0"/>
                                        </a:rPr>
                                        <m:t>,</m:t>
                                      </m:r>
                                      <m:r>
                                        <a:rPr lang="pt-BR" sz="2000" b="1" i="1">
                                          <a:latin typeface="Cambria Math" panose="02040503050406030204" pitchFamily="18" charset="0"/>
                                        </a:rPr>
                                        <m:t>𝒊</m:t>
                                      </m:r>
                                    </m:sub>
                                  </m:sSub>
                                  <m:d>
                                    <m:dPr>
                                      <m:ctrlPr>
                                        <a:rPr lang="pt-BR" sz="2000" b="1" i="1">
                                          <a:latin typeface="Cambria Math" panose="02040503050406030204" pitchFamily="18" charset="0"/>
                                        </a:rPr>
                                      </m:ctrlPr>
                                    </m:dPr>
                                    <m:e>
                                      <m:d>
                                        <m:dPr>
                                          <m:begChr m:val="|"/>
                                          <m:endChr m:val="|"/>
                                          <m:ctrlPr>
                                            <a:rPr lang="pt-BR" sz="2000" b="1" i="1">
                                              <a:latin typeface="Cambria Math" panose="02040503050406030204" pitchFamily="18" charset="0"/>
                                            </a:rPr>
                                          </m:ctrlPr>
                                        </m:dPr>
                                        <m:e>
                                          <m:sSub>
                                            <m:sSubPr>
                                              <m:ctrlPr>
                                                <a:rPr lang="pt-BR" sz="2000" b="1" i="1">
                                                  <a:latin typeface="Cambria Math" panose="02040503050406030204" pitchFamily="18" charset="0"/>
                                                </a:rPr>
                                              </m:ctrlPr>
                                            </m:sSubPr>
                                            <m:e>
                                              <m:r>
                                                <a:rPr lang="pt-BR" sz="2000" b="1" i="1">
                                                  <a:latin typeface="Cambria Math" panose="02040503050406030204" pitchFamily="18" charset="0"/>
                                                </a:rPr>
                                                <m:t>𝑫</m:t>
                                              </m:r>
                                            </m:e>
                                            <m:sub>
                                              <m:r>
                                                <a:rPr lang="pt-BR" sz="2000" b="1" i="1">
                                                  <a:latin typeface="Cambria Math" panose="02040503050406030204" pitchFamily="18" charset="0"/>
                                                </a:rPr>
                                                <m:t>𝑹𝑳</m:t>
                                              </m:r>
                                              <m:r>
                                                <a:rPr lang="pt-BR" sz="2000" b="1" i="0">
                                                  <a:latin typeface="Cambria Math" panose="02040503050406030204" pitchFamily="18" charset="0"/>
                                                </a:rPr>
                                                <m:t>,</m:t>
                                              </m:r>
                                              <m:r>
                                                <a:rPr lang="pt-BR" sz="2000" b="1" i="1">
                                                  <a:latin typeface="Cambria Math" panose="02040503050406030204" pitchFamily="18" charset="0"/>
                                                </a:rPr>
                                                <m:t>𝒊𝒋</m:t>
                                              </m:r>
                                            </m:sub>
                                          </m:sSub>
                                          <m:r>
                                            <a:rPr lang="pt-BR" sz="2000" b="1" i="0">
                                              <a:latin typeface="Cambria Math" panose="02040503050406030204" pitchFamily="18" charset="0"/>
                                            </a:rPr>
                                            <m:t> </m:t>
                                          </m:r>
                                          <m:r>
                                            <a:rPr lang="pt-BR" sz="2000" b="1" i="1">
                                              <a:latin typeface="Cambria Math" panose="02040503050406030204" pitchFamily="18" charset="0"/>
                                            </a:rPr>
                                            <m:t>𝒊𝒏𝒅𝒆𝒙</m:t>
                                          </m:r>
                                        </m:e>
                                      </m:d>
                                    </m:e>
                                  </m:d>
                                </m:e>
                              </m:mr>
                            </m:m>
                            <m:r>
                              <a:rPr lang="pt-BR" sz="2000" b="1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pt-BR" sz="2000" b="1" i="0">
                                <a:latin typeface="Cambria Math" panose="02040503050406030204" pitchFamily="18" charset="0"/>
                              </a:rPr>
                              <m:t>𝟏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pt-BR" sz="2000" b="1"/>
            </a:p>
          </xdr:txBody>
        </xdr:sp>
      </mc:Choice>
      <mc:Fallback xmlns="">
        <xdr:sp macro="" textlink="">
          <xdr:nvSpPr>
            <xdr:cNvPr id="5" name="CaixaDeTexto 2">
              <a:extLst>
                <a:ext uri="{FF2B5EF4-FFF2-40B4-BE49-F238E27FC236}">
                  <a16:creationId xmlns:a16="http://schemas.microsoft.com/office/drawing/2014/main" id="{929C2DAD-CC5F-4380-A669-E10B1B4D7F1E}"/>
                </a:ext>
              </a:extLst>
            </xdr:cNvPr>
            <xdr:cNvSpPr txBox="1"/>
          </xdr:nvSpPr>
          <xdr:spPr>
            <a:xfrm>
              <a:off x="2034540" y="20429220"/>
              <a:ext cx="5950889" cy="785984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2000" b="1" i="0">
                  <a:latin typeface="Cambria Math" panose="02040503050406030204" pitchFamily="18" charset="0"/>
                </a:rPr>
                <a:t>𝒅_(𝟑,𝒊)=𝟏/(𝟏+𝒎𝒂𝒙[■(𝟎,&amp;𝑷_(𝟗𝟎,𝒊) (|𝑫_(𝑹𝑳,𝒊𝒋)  𝒊𝒏𝒅𝒆𝒙|) )−𝟏] )</a:t>
              </a:r>
              <a:endParaRPr lang="pt-BR" sz="2000" b="1"/>
            </a:p>
          </xdr:txBody>
        </xdr:sp>
      </mc:Fallback>
    </mc:AlternateContent>
    <xdr:clientData/>
  </xdr:twoCellAnchor>
  <xdr:twoCellAnchor>
    <xdr:from>
      <xdr:col>3</xdr:col>
      <xdr:colOff>213361</xdr:colOff>
      <xdr:row>123</xdr:row>
      <xdr:rowOff>152400</xdr:rowOff>
    </xdr:from>
    <xdr:to>
      <xdr:col>12</xdr:col>
      <xdr:colOff>304801</xdr:colOff>
      <xdr:row>130</xdr:row>
      <xdr:rowOff>8577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3">
              <a:extLst>
                <a:ext uri="{FF2B5EF4-FFF2-40B4-BE49-F238E27FC236}">
                  <a16:creationId xmlns:a16="http://schemas.microsoft.com/office/drawing/2014/main" id="{88405BE6-74FA-4B84-86AA-4F49B772C8A0}"/>
                </a:ext>
              </a:extLst>
            </xdr:cNvPr>
            <xdr:cNvSpPr txBox="1"/>
          </xdr:nvSpPr>
          <xdr:spPr>
            <a:xfrm>
              <a:off x="2042161" y="22646640"/>
              <a:ext cx="5577840" cy="113633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pt-BR" sz="20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2000" b="1" i="1">
                            <a:latin typeface="Cambria Math" panose="02040503050406030204" pitchFamily="18" charset="0"/>
                          </a:rPr>
                          <m:t>𝒅</m:t>
                        </m:r>
                      </m:e>
                      <m:sub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𝟒</m:t>
                        </m:r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pt-BR" sz="2000" b="1" i="1">
                            <a:latin typeface="Cambria Math" panose="02040503050406030204" pitchFamily="18" charset="0"/>
                          </a:rPr>
                          <m:t>𝒊</m:t>
                        </m:r>
                      </m:sub>
                    </m:sSub>
                    <m:r>
                      <a:rPr lang="pt-BR" sz="200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2000" b="1" i="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𝟏</m:t>
                        </m:r>
                      </m:num>
                      <m:den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𝟓</m:t>
                        </m:r>
                        <m:r>
                          <a:rPr lang="pt-BR" sz="2000" b="1" i="0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pt-BR" sz="20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pt-BR" sz="2000" b="1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nary>
                                  <m:naryPr>
                                    <m:chr m:val="∑"/>
                                    <m:limLoc m:val="undOvr"/>
                                    <m:ctrlPr>
                                      <a:rPr lang="pt-BR" sz="20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pt-BR" sz="2000" b="1" i="1">
                                        <a:latin typeface="Cambria Math" panose="02040503050406030204" pitchFamily="18" charset="0"/>
                                      </a:rPr>
                                      <m:t>𝒋</m:t>
                                    </m:r>
                                    <m:r>
                                      <a:rPr lang="pt-BR" sz="2000" b="1" i="0">
                                        <a:latin typeface="Cambria Math" panose="02040503050406030204" pitchFamily="18" charset="0"/>
                                      </a:rPr>
                                      <m:t>=</m:t>
                                    </m:r>
                                    <m:r>
                                      <a:rPr lang="pt-BR" sz="2000" b="1" i="0">
                                        <a:latin typeface="Cambria Math" panose="02040503050406030204" pitchFamily="18" charset="0"/>
                                      </a:rPr>
                                      <m:t>𝟏</m:t>
                                    </m:r>
                                  </m:sub>
                                  <m:sup>
                                    <m:sSub>
                                      <m:sSubPr>
                                        <m:ctrlPr>
                                          <a:rPr lang="pt-BR" sz="2000" b="1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t-BR" sz="2000" b="1" i="1">
                                            <a:latin typeface="Cambria Math" panose="02040503050406030204" pitchFamily="18" charset="0"/>
                                          </a:rPr>
                                          <m:t>𝑵</m:t>
                                        </m:r>
                                      </m:e>
                                      <m:sub>
                                        <m:r>
                                          <a:rPr lang="pt-BR" sz="2000" b="1" i="1">
                                            <a:latin typeface="Cambria Math" panose="02040503050406030204" pitchFamily="18" charset="0"/>
                                          </a:rPr>
                                          <m:t>𝒊</m:t>
                                        </m:r>
                                      </m:sub>
                                    </m:sSub>
                                  </m:sup>
                                  <m:e>
                                    <m:r>
                                      <a:rPr lang="pt-BR" sz="2000" b="1" i="0">
                                        <a:latin typeface="Cambria Math" panose="02040503050406030204" pitchFamily="18" charset="0"/>
                                      </a:rPr>
                                      <m:t>𝟏</m:t>
                                    </m:r>
                                    <m:d>
                                      <m:dPr>
                                        <m:ctrlPr>
                                          <a:rPr lang="pt-BR" sz="2000" b="1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d>
                                          <m:dPr>
                                            <m:begChr m:val="|"/>
                                            <m:endChr m:val="|"/>
                                            <m:ctrlPr>
                                              <a:rPr lang="pt-BR" sz="2000" b="1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sSub>
                                              <m:sSubPr>
                                                <m:ctrlPr>
                                                  <a:rPr lang="pt-BR" sz="2000" b="1" i="1">
                                                    <a:latin typeface="Cambria Math" panose="02040503050406030204" pitchFamily="18" charset="0"/>
                                                  </a:rPr>
                                                </m:ctrlPr>
                                              </m:sSubPr>
                                              <m:e>
                                                <m:r>
                                                  <a:rPr lang="pt-BR" sz="2000" b="1" i="1">
                                                    <a:latin typeface="Cambria Math" panose="02040503050406030204" pitchFamily="18" charset="0"/>
                                                  </a:rPr>
                                                  <m:t>𝑫</m:t>
                                                </m:r>
                                              </m:e>
                                              <m:sub>
                                                <m:r>
                                                  <a:rPr lang="pt-BR" sz="2000" b="1" i="1">
                                                    <a:latin typeface="Cambria Math" panose="02040503050406030204" pitchFamily="18" charset="0"/>
                                                  </a:rPr>
                                                  <m:t>𝑹𝑳</m:t>
                                                </m:r>
                                                <m:r>
                                                  <a:rPr lang="pt-BR" sz="2000" b="1" i="0">
                                                    <a:latin typeface="Cambria Math" panose="02040503050406030204" pitchFamily="18" charset="0"/>
                                                  </a:rPr>
                                                  <m:t>,</m:t>
                                                </m:r>
                                                <m:r>
                                                  <a:rPr lang="pt-BR" sz="2000" b="1" i="1">
                                                    <a:latin typeface="Cambria Math" panose="02040503050406030204" pitchFamily="18" charset="0"/>
                                                  </a:rPr>
                                                  <m:t>𝒊𝒋</m:t>
                                                </m:r>
                                              </m:sub>
                                            </m:sSub>
                                            <m:r>
                                              <a:rPr lang="pt-BR" sz="2000" b="1" i="1">
                                                <a:latin typeface="Cambria Math" panose="02040503050406030204" pitchFamily="18" charset="0"/>
                                              </a:rPr>
                                              <m:t>𝒊𝒏𝒅𝒆𝒙</m:t>
                                            </m:r>
                                          </m:e>
                                        </m:d>
                                        <m:r>
                                          <a:rPr lang="pt-BR" sz="2000" b="1" i="0">
                                            <a:latin typeface="Cambria Math" panose="02040503050406030204" pitchFamily="18" charset="0"/>
                                          </a:rPr>
                                          <m:t>&gt;</m:t>
                                        </m:r>
                                        <m:r>
                                          <a:rPr lang="pt-BR" sz="2000" b="1" i="0">
                                            <a:latin typeface="Cambria Math" panose="02040503050406030204" pitchFamily="18" charset="0"/>
                                          </a:rPr>
                                          <m:t>𝟐</m:t>
                                        </m:r>
                                      </m:e>
                                    </m:d>
                                  </m:e>
                                </m:nary>
                              </m:num>
                              <m:den>
                                <m:sSub>
                                  <m:sSubPr>
                                    <m:ctrlPr>
                                      <a:rPr lang="pt-BR" sz="2000" b="1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t-BR" sz="2000" b="1" i="1">
                                        <a:latin typeface="Cambria Math" panose="02040503050406030204" pitchFamily="18" charset="0"/>
                                      </a:rPr>
                                      <m:t>𝑵</m:t>
                                    </m:r>
                                  </m:e>
                                  <m:sub>
                                    <m:r>
                                      <a:rPr lang="pt-BR" sz="2000" b="1" i="1">
                                        <a:latin typeface="Cambria Math" panose="02040503050406030204" pitchFamily="18" charset="0"/>
                                      </a:rPr>
                                      <m:t>𝒊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den>
                    </m:f>
                  </m:oMath>
                </m:oMathPara>
              </a14:m>
              <a:endParaRPr lang="pt-BR" sz="2000" b="1"/>
            </a:p>
          </xdr:txBody>
        </xdr:sp>
      </mc:Choice>
      <mc:Fallback xmlns="">
        <xdr:sp macro="" textlink="">
          <xdr:nvSpPr>
            <xdr:cNvPr id="6" name="CaixaDeTexto 3">
              <a:extLst>
                <a:ext uri="{FF2B5EF4-FFF2-40B4-BE49-F238E27FC236}">
                  <a16:creationId xmlns:a16="http://schemas.microsoft.com/office/drawing/2014/main" id="{88405BE6-74FA-4B84-86AA-4F49B772C8A0}"/>
                </a:ext>
              </a:extLst>
            </xdr:cNvPr>
            <xdr:cNvSpPr txBox="1"/>
          </xdr:nvSpPr>
          <xdr:spPr>
            <a:xfrm>
              <a:off x="2042161" y="22646640"/>
              <a:ext cx="5577840" cy="113633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pt-BR" sz="2000" b="1" i="0">
                  <a:latin typeface="Cambria Math" panose="02040503050406030204" pitchFamily="18" charset="0"/>
                </a:rPr>
                <a:t>𝒅_(𝟒,𝒊)=𝟏/(𝟏+𝟓×[(∑1_(𝒋=𝟏)^(𝑵_𝒊)▒𝟏(|𝑫_(𝑹𝑳,𝒊𝒋) 𝒊𝒏𝒅𝒆𝒙|&gt;𝟐) )/𝑵_𝒊 ] )</a:t>
              </a:r>
              <a:endParaRPr lang="pt-BR" sz="2000" b="1"/>
            </a:p>
          </xdr:txBody>
        </xdr:sp>
      </mc:Fallback>
    </mc:AlternateContent>
    <xdr:clientData/>
  </xdr:twoCellAnchor>
  <xdr:oneCellAnchor>
    <xdr:from>
      <xdr:col>1</xdr:col>
      <xdr:colOff>510540</xdr:colOff>
      <xdr:row>67</xdr:row>
      <xdr:rowOff>32079</xdr:rowOff>
    </xdr:from>
    <xdr:ext cx="8282940" cy="3131211"/>
    <xdr:pic>
      <xdr:nvPicPr>
        <xdr:cNvPr id="7" name="Imagem 6">
          <a:extLst>
            <a:ext uri="{FF2B5EF4-FFF2-40B4-BE49-F238E27FC236}">
              <a16:creationId xmlns:a16="http://schemas.microsoft.com/office/drawing/2014/main" id="{B3D8CE37-A1DA-4421-8E12-9CDF26497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140" y="12285039"/>
          <a:ext cx="8282940" cy="3131211"/>
        </a:xfrm>
        <a:prstGeom prst="rect">
          <a:avLst/>
        </a:prstGeom>
      </xdr:spPr>
    </xdr:pic>
    <xdr:clientData/>
  </xdr:oneCellAnchor>
  <xdr:oneCellAnchor>
    <xdr:from>
      <xdr:col>1</xdr:col>
      <xdr:colOff>571499</xdr:colOff>
      <xdr:row>92</xdr:row>
      <xdr:rowOff>91440</xdr:rowOff>
    </xdr:from>
    <xdr:ext cx="8305801" cy="633895"/>
    <xdr:pic>
      <xdr:nvPicPr>
        <xdr:cNvPr id="8" name="Imagem 7">
          <a:extLst>
            <a:ext uri="{FF2B5EF4-FFF2-40B4-BE49-F238E27FC236}">
              <a16:creationId xmlns:a16="http://schemas.microsoft.com/office/drawing/2014/main" id="{B07B0EFE-CE7E-46F8-8BBE-E8C0EBCC9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099" y="16916400"/>
          <a:ext cx="8305801" cy="633895"/>
        </a:xfrm>
        <a:prstGeom prst="rect">
          <a:avLst/>
        </a:prstGeom>
      </xdr:spPr>
    </xdr:pic>
    <xdr:clientData/>
  </xdr:oneCellAnchor>
  <xdr:oneCellAnchor>
    <xdr:from>
      <xdr:col>2</xdr:col>
      <xdr:colOff>15241</xdr:colOff>
      <xdr:row>105</xdr:row>
      <xdr:rowOff>34399</xdr:rowOff>
    </xdr:from>
    <xdr:ext cx="8244839" cy="706700"/>
    <xdr:pic>
      <xdr:nvPicPr>
        <xdr:cNvPr id="9" name="Imagem 8">
          <a:extLst>
            <a:ext uri="{FF2B5EF4-FFF2-40B4-BE49-F238E27FC236}">
              <a16:creationId xmlns:a16="http://schemas.microsoft.com/office/drawing/2014/main" id="{71E3FDD8-6A01-4E50-87D3-99DC79ECA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4441" y="19236799"/>
          <a:ext cx="8244839" cy="706700"/>
        </a:xfrm>
        <a:prstGeom prst="rect">
          <a:avLst/>
        </a:prstGeom>
      </xdr:spPr>
    </xdr:pic>
    <xdr:clientData/>
  </xdr:oneCellAnchor>
  <xdr:oneCellAnchor>
    <xdr:from>
      <xdr:col>2</xdr:col>
      <xdr:colOff>15240</xdr:colOff>
      <xdr:row>117</xdr:row>
      <xdr:rowOff>38101</xdr:rowOff>
    </xdr:from>
    <xdr:ext cx="8253136" cy="655320"/>
    <xdr:pic>
      <xdr:nvPicPr>
        <xdr:cNvPr id="10" name="Imagem 9">
          <a:extLst>
            <a:ext uri="{FF2B5EF4-FFF2-40B4-BE49-F238E27FC236}">
              <a16:creationId xmlns:a16="http://schemas.microsoft.com/office/drawing/2014/main" id="{61BD9D7E-2EB7-4D61-8BDF-CEE3BF37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4440" y="21435061"/>
          <a:ext cx="8253136" cy="655320"/>
        </a:xfrm>
        <a:prstGeom prst="rect">
          <a:avLst/>
        </a:prstGeom>
      </xdr:spPr>
    </xdr:pic>
    <xdr:clientData/>
  </xdr:oneCellAnchor>
  <xdr:oneCellAnchor>
    <xdr:from>
      <xdr:col>1</xdr:col>
      <xdr:colOff>556260</xdr:colOff>
      <xdr:row>131</xdr:row>
      <xdr:rowOff>76200</xdr:rowOff>
    </xdr:from>
    <xdr:ext cx="8267700" cy="1176187"/>
    <xdr:pic>
      <xdr:nvPicPr>
        <xdr:cNvPr id="11" name="Imagem 10">
          <a:extLst>
            <a:ext uri="{FF2B5EF4-FFF2-40B4-BE49-F238E27FC236}">
              <a16:creationId xmlns:a16="http://schemas.microsoft.com/office/drawing/2014/main" id="{D559A65D-FA67-4EE6-A3E9-C98A8D502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5860" y="24033480"/>
          <a:ext cx="8267700" cy="1176187"/>
        </a:xfrm>
        <a:prstGeom prst="rect">
          <a:avLst/>
        </a:prstGeom>
      </xdr:spPr>
    </xdr:pic>
    <xdr:clientData/>
  </xdr:oneCellAnchor>
  <xdr:oneCellAnchor>
    <xdr:from>
      <xdr:col>2</xdr:col>
      <xdr:colOff>421342</xdr:colOff>
      <xdr:row>4</xdr:row>
      <xdr:rowOff>158675</xdr:rowOff>
    </xdr:from>
    <xdr:ext cx="5533680" cy="11362765"/>
    <xdr:pic>
      <xdr:nvPicPr>
        <xdr:cNvPr id="12" name="Imagem 11">
          <a:extLst>
            <a:ext uri="{FF2B5EF4-FFF2-40B4-BE49-F238E27FC236}">
              <a16:creationId xmlns:a16="http://schemas.microsoft.com/office/drawing/2014/main" id="{0A74CFA5-6355-4FB7-A0F4-1580DABE6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0542" y="890195"/>
          <a:ext cx="5533680" cy="11362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206830</xdr:colOff>
      <xdr:row>1</xdr:row>
      <xdr:rowOff>48987</xdr:rowOff>
    </xdr:from>
    <xdr:ext cx="1328456" cy="1452153"/>
    <xdr:pic>
      <xdr:nvPicPr>
        <xdr:cNvPr id="2" name="Imagem 1">
          <a:extLst>
            <a:ext uri="{FF2B5EF4-FFF2-40B4-BE49-F238E27FC236}">
              <a16:creationId xmlns:a16="http://schemas.microsoft.com/office/drawing/2014/main" id="{455B4308-53F7-46A0-BF99-D228952C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670" y="231867"/>
          <a:ext cx="1328456" cy="1452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6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  <wetp:taskpane dockstate="right" visibility="0" width="425" row="8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8ADCCFB8-3843-4B03-8140-AA1AA773A88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66f093f-ae8b-4a07-bea2-73b6336256b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83891B6-A1D8-4BBA-873B-D477C496B998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5f91999f-a19f-4ee3-a54b-bb1cabe0e8ef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1C34E117-3217-454C-A89E-131B8E8EC732}">
  <we:reference id="wa200010215" version="2.0.0.1" store="pt-BR" storeType="OMEX"/>
  <we:alternateReferences>
    <we:reference id="WA200010215" version="2.0.0.1" store="" storeType="OMEX"/>
  </we:alternateReferences>
  <we:properties>
    <we:property name="bps.codex_control.document_id" value="&quot;f6ac0d35-004d-4e0f-9e5f-3028057c193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cid.org/0000-0002-7159-4593" TargetMode="External"/><Relationship Id="rId2" Type="http://schemas.openxmlformats.org/officeDocument/2006/relationships/hyperlink" Target="https://orcid.org/0000-0002-7159-4593" TargetMode="External"/><Relationship Id="rId1" Type="http://schemas.openxmlformats.org/officeDocument/2006/relationships/hyperlink" Target="https://grupolabr.com/Team.html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github.com/labrgrupo/Supplementary_Material_CCA_LabRI" TargetMode="External"/><Relationship Id="rId4" Type="http://schemas.openxmlformats.org/officeDocument/2006/relationships/hyperlink" Target="https://grupolabr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515/labmed-2022-0147" TargetMode="External"/><Relationship Id="rId13" Type="http://schemas.openxmlformats.org/officeDocument/2006/relationships/hyperlink" Target="https://grupolabr.com/" TargetMode="External"/><Relationship Id="rId3" Type="http://schemas.openxmlformats.org/officeDocument/2006/relationships/hyperlink" Target="https://doi.org/10.1515/labmed-2016-0002" TargetMode="External"/><Relationship Id="rId7" Type="http://schemas.openxmlformats.org/officeDocument/2006/relationships/hyperlink" Target="https://doi.org/10.1515/cclm-2011-0862" TargetMode="External"/><Relationship Id="rId12" Type="http://schemas.openxmlformats.org/officeDocument/2006/relationships/hyperlink" Target="https://orcid.org/0000-0002-7159-4593" TargetMode="External"/><Relationship Id="rId2" Type="http://schemas.openxmlformats.org/officeDocument/2006/relationships/hyperlink" Target="https://doi.org/10.1515/labmed-2020-0131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https://doi.org/10.1515/cclm-2022-1061" TargetMode="External"/><Relationship Id="rId6" Type="http://schemas.openxmlformats.org/officeDocument/2006/relationships/hyperlink" Target="https://doi.org/10.1515/labmed-2016-0079" TargetMode="External"/><Relationship Id="rId11" Type="http://schemas.openxmlformats.org/officeDocument/2006/relationships/hyperlink" Target="https://orcid.org/0000-0002-7159-4593" TargetMode="External"/><Relationship Id="rId5" Type="http://schemas.openxmlformats.org/officeDocument/2006/relationships/hyperlink" Target="https://doi.org/10.1515/cclm-2014-1201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grupolabr.com/Team.html" TargetMode="External"/><Relationship Id="rId4" Type="http://schemas.openxmlformats.org/officeDocument/2006/relationships/hyperlink" Target="https://doi.org/10.1515/labmed-2016-0006" TargetMode="External"/><Relationship Id="rId9" Type="http://schemas.openxmlformats.org/officeDocument/2006/relationships/hyperlink" Target="https://doi.org/10.1515/cclm-2014-0874" TargetMode="External"/><Relationship Id="rId14" Type="http://schemas.openxmlformats.org/officeDocument/2006/relationships/hyperlink" Target="https://github.com/labrgrupo/Supplementary_Material_CCA_LabRI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515/labmed-2022-0147" TargetMode="External"/><Relationship Id="rId13" Type="http://schemas.openxmlformats.org/officeDocument/2006/relationships/hyperlink" Target="https://grupolabr.com/" TargetMode="External"/><Relationship Id="rId3" Type="http://schemas.openxmlformats.org/officeDocument/2006/relationships/hyperlink" Target="https://doi.org/10.1515/labmed-2016-0002" TargetMode="External"/><Relationship Id="rId7" Type="http://schemas.openxmlformats.org/officeDocument/2006/relationships/hyperlink" Target="https://doi.org/10.1515/cclm-2011-0862" TargetMode="External"/><Relationship Id="rId12" Type="http://schemas.openxmlformats.org/officeDocument/2006/relationships/hyperlink" Target="https://orcid.org/0000-0002-7159-4593" TargetMode="External"/><Relationship Id="rId2" Type="http://schemas.openxmlformats.org/officeDocument/2006/relationships/hyperlink" Target="https://doi.org/10.1515/labmed-2020-0131" TargetMode="External"/><Relationship Id="rId16" Type="http://schemas.openxmlformats.org/officeDocument/2006/relationships/drawing" Target="../drawings/drawing3.xml"/><Relationship Id="rId1" Type="http://schemas.openxmlformats.org/officeDocument/2006/relationships/hyperlink" Target="https://doi.org/10.1515/cclm-2022-1061" TargetMode="External"/><Relationship Id="rId6" Type="http://schemas.openxmlformats.org/officeDocument/2006/relationships/hyperlink" Target="https://doi.org/10.1515/labmed-2016-0079" TargetMode="External"/><Relationship Id="rId11" Type="http://schemas.openxmlformats.org/officeDocument/2006/relationships/hyperlink" Target="https://orcid.org/0000-0002-7159-4593" TargetMode="External"/><Relationship Id="rId5" Type="http://schemas.openxmlformats.org/officeDocument/2006/relationships/hyperlink" Target="https://doi.org/10.1515/cclm-2014-1201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grupolabr.com/Team.html" TargetMode="External"/><Relationship Id="rId4" Type="http://schemas.openxmlformats.org/officeDocument/2006/relationships/hyperlink" Target="https://doi.org/10.1515/labmed-2016-0006" TargetMode="External"/><Relationship Id="rId9" Type="http://schemas.openxmlformats.org/officeDocument/2006/relationships/hyperlink" Target="https://doi.org/10.1515/cclm-2014-0874" TargetMode="External"/><Relationship Id="rId14" Type="http://schemas.openxmlformats.org/officeDocument/2006/relationships/hyperlink" Target="https://github.com/labrgrupo/Supplementary_Material_CCA_LabRI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grupolabr.com/Team.html" TargetMode="External"/><Relationship Id="rId13" Type="http://schemas.openxmlformats.org/officeDocument/2006/relationships/hyperlink" Target="https://doi.org/10.1093/clinchem/hvac142" TargetMode="External"/><Relationship Id="rId18" Type="http://schemas.openxmlformats.org/officeDocument/2006/relationships/hyperlink" Target="https://grupolabr.com/" TargetMode="External"/><Relationship Id="rId3" Type="http://schemas.openxmlformats.org/officeDocument/2006/relationships/hyperlink" Target="https://doi.org/10.1515/labmed-2016-0002" TargetMode="External"/><Relationship Id="rId21" Type="http://schemas.openxmlformats.org/officeDocument/2006/relationships/drawing" Target="../drawings/drawing7.xml"/><Relationship Id="rId7" Type="http://schemas.openxmlformats.org/officeDocument/2006/relationships/hyperlink" Target="https://doi.org/10.1515/cclm-2011-0862" TargetMode="External"/><Relationship Id="rId12" Type="http://schemas.openxmlformats.org/officeDocument/2006/relationships/hyperlink" Target="https://doi.org/10.1186/s12859-016-1442-6" TargetMode="External"/><Relationship Id="rId17" Type="http://schemas.openxmlformats.org/officeDocument/2006/relationships/hyperlink" Target="https://orcid.org/0000-0002-7159-4593" TargetMode="External"/><Relationship Id="rId2" Type="http://schemas.openxmlformats.org/officeDocument/2006/relationships/hyperlink" Target="https://doi.org/10.1515/labmed-2020-0131" TargetMode="External"/><Relationship Id="rId16" Type="http://schemas.openxmlformats.org/officeDocument/2006/relationships/hyperlink" Target="https://orcid.org/0000-0002-7159-4593" TargetMode="External"/><Relationship Id="rId20" Type="http://schemas.openxmlformats.org/officeDocument/2006/relationships/printerSettings" Target="../printerSettings/printerSettings5.bin"/><Relationship Id="rId1" Type="http://schemas.openxmlformats.org/officeDocument/2006/relationships/hyperlink" Target="https://doi.org/10.1515/cclm-2022-1061" TargetMode="External"/><Relationship Id="rId6" Type="http://schemas.openxmlformats.org/officeDocument/2006/relationships/hyperlink" Target="https://doi.org/10.1515/labmed-2016-0079" TargetMode="External"/><Relationship Id="rId11" Type="http://schemas.openxmlformats.org/officeDocument/2006/relationships/hyperlink" Target="https://doi.org/10.3758/BF03204742" TargetMode="External"/><Relationship Id="rId5" Type="http://schemas.openxmlformats.org/officeDocument/2006/relationships/hyperlink" Target="https://doi.org/10.1515/cclm-2014-1201" TargetMode="External"/><Relationship Id="rId15" Type="http://schemas.openxmlformats.org/officeDocument/2006/relationships/hyperlink" Target="https://doi.org/10.1093/bioinformatics/btad515" TargetMode="External"/><Relationship Id="rId10" Type="http://schemas.openxmlformats.org/officeDocument/2006/relationships/hyperlink" Target="https://doi.org/10.1515/cclm-2014-0874" TargetMode="External"/><Relationship Id="rId19" Type="http://schemas.openxmlformats.org/officeDocument/2006/relationships/hyperlink" Target="https://github.com/labrgrupo/Supplementary_Material_CCA_LabRI" TargetMode="External"/><Relationship Id="rId4" Type="http://schemas.openxmlformats.org/officeDocument/2006/relationships/hyperlink" Target="https://doi.org/10.1515/labmed-2016-0006" TargetMode="External"/><Relationship Id="rId9" Type="http://schemas.openxmlformats.org/officeDocument/2006/relationships/hyperlink" Target="https://doi.org/10.1515/labmed-2022-0147" TargetMode="External"/><Relationship Id="rId14" Type="http://schemas.openxmlformats.org/officeDocument/2006/relationships/hyperlink" Target="https://doi.org/10.1186/s13059-019-1738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A134-FF89-470E-B217-C3E937763381}">
  <sheetPr>
    <tabColor theme="1"/>
  </sheetPr>
  <dimension ref="A1:O60"/>
  <sheetViews>
    <sheetView showGridLines="0" workbookViewId="0">
      <selection activeCell="F9" sqref="F9:O9"/>
    </sheetView>
  </sheetViews>
  <sheetFormatPr defaultRowHeight="14.4" x14ac:dyDescent="0.3"/>
  <cols>
    <col min="1" max="1" width="1" style="87" customWidth="1"/>
    <col min="2" max="14" width="12.77734375" style="87" customWidth="1"/>
    <col min="15" max="15" width="14.77734375" style="87" customWidth="1"/>
    <col min="16" max="16384" width="8.88671875" style="87"/>
  </cols>
  <sheetData>
    <row r="1" spans="1:15" ht="4.9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79.95" customHeight="1" thickTop="1" x14ac:dyDescent="0.3">
      <c r="A2" s="1"/>
      <c r="B2" s="466"/>
      <c r="C2" s="467"/>
      <c r="D2" s="473" t="s">
        <v>140</v>
      </c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5"/>
    </row>
    <row r="3" spans="1:15" ht="37.950000000000003" customHeight="1" thickBot="1" x14ac:dyDescent="0.35">
      <c r="A3" s="1"/>
      <c r="B3" s="468"/>
      <c r="C3" s="469"/>
      <c r="D3" s="483" t="s">
        <v>191</v>
      </c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5"/>
    </row>
    <row r="4" spans="1:15" ht="15.6" thickTop="1" thickBot="1" x14ac:dyDescent="0.35"/>
    <row r="5" spans="1:15" ht="19.95" customHeight="1" x14ac:dyDescent="0.3">
      <c r="B5" s="444" t="s">
        <v>66</v>
      </c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6"/>
    </row>
    <row r="6" spans="1:15" ht="15" customHeight="1" x14ac:dyDescent="0.3">
      <c r="B6" s="457" t="s">
        <v>67</v>
      </c>
      <c r="C6" s="458"/>
      <c r="D6" s="458"/>
      <c r="E6" s="458"/>
      <c r="F6" s="479" t="s">
        <v>140</v>
      </c>
      <c r="G6" s="479"/>
      <c r="H6" s="479"/>
      <c r="I6" s="479"/>
      <c r="J6" s="479"/>
      <c r="K6" s="479"/>
      <c r="L6" s="479"/>
      <c r="M6" s="479"/>
      <c r="N6" s="479"/>
      <c r="O6" s="480"/>
    </row>
    <row r="7" spans="1:15" ht="15" customHeight="1" x14ac:dyDescent="0.3">
      <c r="B7" s="457" t="s">
        <v>68</v>
      </c>
      <c r="C7" s="458"/>
      <c r="D7" s="458"/>
      <c r="E7" s="458"/>
      <c r="F7" s="479" t="s">
        <v>248</v>
      </c>
      <c r="G7" s="479"/>
      <c r="H7" s="479"/>
      <c r="I7" s="479"/>
      <c r="J7" s="479"/>
      <c r="K7" s="479"/>
      <c r="L7" s="479"/>
      <c r="M7" s="479"/>
      <c r="N7" s="479"/>
      <c r="O7" s="480"/>
    </row>
    <row r="8" spans="1:15" ht="15" customHeight="1" x14ac:dyDescent="0.3">
      <c r="B8" s="457" t="s">
        <v>69</v>
      </c>
      <c r="C8" s="458"/>
      <c r="D8" s="458"/>
      <c r="E8" s="458"/>
      <c r="F8" s="481" t="s">
        <v>188</v>
      </c>
      <c r="G8" s="479"/>
      <c r="H8" s="479"/>
      <c r="I8" s="479"/>
      <c r="J8" s="479"/>
      <c r="K8" s="479"/>
      <c r="L8" s="479"/>
      <c r="M8" s="479"/>
      <c r="N8" s="479"/>
      <c r="O8" s="480"/>
    </row>
    <row r="9" spans="1:15" ht="15" customHeight="1" x14ac:dyDescent="0.3">
      <c r="B9" s="457" t="s">
        <v>70</v>
      </c>
      <c r="C9" s="458"/>
      <c r="D9" s="458"/>
      <c r="E9" s="458"/>
      <c r="F9" s="479" t="s">
        <v>71</v>
      </c>
      <c r="G9" s="479"/>
      <c r="H9" s="479"/>
      <c r="I9" s="479"/>
      <c r="J9" s="479"/>
      <c r="K9" s="479"/>
      <c r="L9" s="479"/>
      <c r="M9" s="479"/>
      <c r="N9" s="479"/>
      <c r="O9" s="480"/>
    </row>
    <row r="10" spans="1:15" ht="15" customHeight="1" x14ac:dyDescent="0.3">
      <c r="B10" s="457" t="s">
        <v>72</v>
      </c>
      <c r="C10" s="458"/>
      <c r="D10" s="458"/>
      <c r="E10" s="458"/>
      <c r="F10" s="459" t="s">
        <v>73</v>
      </c>
      <c r="G10" s="459"/>
      <c r="H10" s="459"/>
      <c r="I10" s="459"/>
      <c r="J10" s="459"/>
      <c r="K10" s="459"/>
      <c r="L10" s="459"/>
      <c r="M10" s="459"/>
      <c r="N10" s="459"/>
      <c r="O10" s="482"/>
    </row>
    <row r="11" spans="1:15" ht="15" customHeight="1" x14ac:dyDescent="0.3">
      <c r="B11" s="457" t="s">
        <v>74</v>
      </c>
      <c r="C11" s="458"/>
      <c r="D11" s="458"/>
      <c r="E11" s="458"/>
      <c r="F11" s="479" t="s">
        <v>75</v>
      </c>
      <c r="G11" s="479"/>
      <c r="H11" s="479"/>
      <c r="I11" s="479"/>
      <c r="J11" s="479"/>
      <c r="K11" s="479"/>
      <c r="L11" s="479"/>
      <c r="M11" s="479"/>
      <c r="N11" s="479"/>
      <c r="O11" s="480"/>
    </row>
    <row r="12" spans="1:15" ht="15" customHeight="1" x14ac:dyDescent="0.3">
      <c r="B12" s="457" t="s">
        <v>76</v>
      </c>
      <c r="C12" s="458"/>
      <c r="D12" s="458"/>
      <c r="E12" s="458"/>
      <c r="F12" s="459" t="s">
        <v>189</v>
      </c>
      <c r="G12" s="460"/>
      <c r="H12" s="460"/>
      <c r="I12" s="460"/>
      <c r="J12" s="460"/>
      <c r="K12" s="460"/>
      <c r="L12" s="460"/>
      <c r="M12" s="460"/>
      <c r="N12" s="460"/>
      <c r="O12" s="461"/>
    </row>
    <row r="13" spans="1:15" ht="15" customHeight="1" x14ac:dyDescent="0.3">
      <c r="B13" s="457" t="s">
        <v>77</v>
      </c>
      <c r="C13" s="458"/>
      <c r="D13" s="458"/>
      <c r="E13" s="458"/>
      <c r="F13" s="459" t="s">
        <v>190</v>
      </c>
      <c r="G13" s="460"/>
      <c r="H13" s="460"/>
      <c r="I13" s="460"/>
      <c r="J13" s="460"/>
      <c r="K13" s="460"/>
      <c r="L13" s="460"/>
      <c r="M13" s="460"/>
      <c r="N13" s="460"/>
      <c r="O13" s="461"/>
    </row>
    <row r="14" spans="1:15" ht="30" customHeight="1" thickBot="1" x14ac:dyDescent="0.35">
      <c r="B14" s="462" t="s">
        <v>78</v>
      </c>
      <c r="C14" s="463"/>
      <c r="D14" s="463"/>
      <c r="E14" s="463"/>
      <c r="F14" s="464" t="s">
        <v>79</v>
      </c>
      <c r="G14" s="464"/>
      <c r="H14" s="464"/>
      <c r="I14" s="464"/>
      <c r="J14" s="464"/>
      <c r="K14" s="464"/>
      <c r="L14" s="464"/>
      <c r="M14" s="464"/>
      <c r="N14" s="464"/>
      <c r="O14" s="465"/>
    </row>
    <row r="15" spans="1:15" ht="15" thickBot="1" x14ac:dyDescent="0.35"/>
    <row r="16" spans="1:15" ht="22.05" customHeight="1" x14ac:dyDescent="0.3">
      <c r="B16" s="486" t="s">
        <v>192</v>
      </c>
      <c r="C16" s="487"/>
      <c r="D16" s="487"/>
      <c r="E16" s="487"/>
      <c r="F16" s="487"/>
      <c r="G16" s="487"/>
      <c r="H16" s="487"/>
      <c r="I16" s="487"/>
      <c r="J16" s="487"/>
      <c r="K16" s="487"/>
      <c r="L16" s="487"/>
      <c r="M16" s="487"/>
      <c r="N16" s="487"/>
      <c r="O16" s="488"/>
    </row>
    <row r="17" spans="2:15" ht="52.95" customHeight="1" thickBot="1" x14ac:dyDescent="0.35">
      <c r="B17" s="489" t="s">
        <v>193</v>
      </c>
      <c r="C17" s="490"/>
      <c r="D17" s="490"/>
      <c r="E17" s="490"/>
      <c r="F17" s="490"/>
      <c r="G17" s="490"/>
      <c r="H17" s="490"/>
      <c r="I17" s="490"/>
      <c r="J17" s="490"/>
      <c r="K17" s="490"/>
      <c r="L17" s="490"/>
      <c r="M17" s="490"/>
      <c r="N17" s="490"/>
      <c r="O17" s="491"/>
    </row>
    <row r="18" spans="2:15" ht="15" thickBot="1" x14ac:dyDescent="0.35"/>
    <row r="19" spans="2:15" ht="22.05" customHeight="1" x14ac:dyDescent="0.3">
      <c r="B19" s="486" t="s">
        <v>194</v>
      </c>
      <c r="C19" s="487"/>
      <c r="D19" s="487"/>
      <c r="E19" s="487"/>
      <c r="F19" s="487"/>
      <c r="G19" s="487"/>
      <c r="H19" s="487"/>
      <c r="I19" s="487"/>
      <c r="J19" s="487"/>
      <c r="K19" s="487"/>
      <c r="L19" s="487"/>
      <c r="M19" s="487"/>
      <c r="N19" s="487"/>
      <c r="O19" s="488"/>
    </row>
    <row r="20" spans="2:15" ht="22.95" customHeight="1" x14ac:dyDescent="0.3">
      <c r="B20" s="492" t="s">
        <v>195</v>
      </c>
      <c r="C20" s="493"/>
      <c r="D20" s="493"/>
      <c r="E20" s="493"/>
      <c r="F20" s="493"/>
      <c r="G20" s="493"/>
      <c r="H20" s="493"/>
      <c r="I20" s="493"/>
      <c r="J20" s="493"/>
      <c r="K20" s="493"/>
      <c r="L20" s="493"/>
      <c r="M20" s="493"/>
      <c r="N20" s="493"/>
      <c r="O20" s="494"/>
    </row>
    <row r="21" spans="2:15" ht="37.950000000000003" customHeight="1" x14ac:dyDescent="0.3">
      <c r="B21" s="492" t="s">
        <v>196</v>
      </c>
      <c r="C21" s="493"/>
      <c r="D21" s="493"/>
      <c r="E21" s="493"/>
      <c r="F21" s="493"/>
      <c r="G21" s="493"/>
      <c r="H21" s="493"/>
      <c r="I21" s="493"/>
      <c r="J21" s="493"/>
      <c r="K21" s="493"/>
      <c r="L21" s="493"/>
      <c r="M21" s="493"/>
      <c r="N21" s="493"/>
      <c r="O21" s="494"/>
    </row>
    <row r="22" spans="2:15" ht="37.950000000000003" customHeight="1" x14ac:dyDescent="0.3">
      <c r="B22" s="492" t="s">
        <v>197</v>
      </c>
      <c r="C22" s="493"/>
      <c r="D22" s="493"/>
      <c r="E22" s="493"/>
      <c r="F22" s="493"/>
      <c r="G22" s="493"/>
      <c r="H22" s="493"/>
      <c r="I22" s="493"/>
      <c r="J22" s="493"/>
      <c r="K22" s="493"/>
      <c r="L22" s="493"/>
      <c r="M22" s="493"/>
      <c r="N22" s="493"/>
      <c r="O22" s="494"/>
    </row>
    <row r="23" spans="2:15" ht="22.95" customHeight="1" x14ac:dyDescent="0.3">
      <c r="B23" s="492" t="s">
        <v>198</v>
      </c>
      <c r="C23" s="493"/>
      <c r="D23" s="493"/>
      <c r="E23" s="493"/>
      <c r="F23" s="493"/>
      <c r="G23" s="493"/>
      <c r="H23" s="493"/>
      <c r="I23" s="493"/>
      <c r="J23" s="493"/>
      <c r="K23" s="493"/>
      <c r="L23" s="493"/>
      <c r="M23" s="493"/>
      <c r="N23" s="493"/>
      <c r="O23" s="494"/>
    </row>
    <row r="24" spans="2:15" ht="37.950000000000003" customHeight="1" x14ac:dyDescent="0.3">
      <c r="B24" s="492" t="s">
        <v>199</v>
      </c>
      <c r="C24" s="493"/>
      <c r="D24" s="493"/>
      <c r="E24" s="493"/>
      <c r="F24" s="493"/>
      <c r="G24" s="493"/>
      <c r="H24" s="493"/>
      <c r="I24" s="493"/>
      <c r="J24" s="493"/>
      <c r="K24" s="493"/>
      <c r="L24" s="493"/>
      <c r="M24" s="493"/>
      <c r="N24" s="493"/>
      <c r="O24" s="494"/>
    </row>
    <row r="25" spans="2:15" ht="22.95" customHeight="1" x14ac:dyDescent="0.3">
      <c r="B25" s="492" t="s">
        <v>200</v>
      </c>
      <c r="C25" s="493"/>
      <c r="D25" s="493"/>
      <c r="E25" s="493"/>
      <c r="F25" s="493"/>
      <c r="G25" s="493"/>
      <c r="H25" s="493"/>
      <c r="I25" s="493"/>
      <c r="J25" s="493"/>
      <c r="K25" s="493"/>
      <c r="L25" s="493"/>
      <c r="M25" s="493"/>
      <c r="N25" s="493"/>
      <c r="O25" s="494"/>
    </row>
    <row r="26" spans="2:15" ht="37.950000000000003" customHeight="1" thickBot="1" x14ac:dyDescent="0.35">
      <c r="B26" s="489" t="s">
        <v>201</v>
      </c>
      <c r="C26" s="490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1"/>
    </row>
    <row r="27" spans="2:15" ht="15" thickBot="1" x14ac:dyDescent="0.35"/>
    <row r="28" spans="2:15" ht="22.05" customHeight="1" x14ac:dyDescent="0.3">
      <c r="B28" s="486" t="s">
        <v>202</v>
      </c>
      <c r="C28" s="487"/>
      <c r="D28" s="487"/>
      <c r="E28" s="487"/>
      <c r="F28" s="487"/>
      <c r="G28" s="487"/>
      <c r="H28" s="487"/>
      <c r="I28" s="487"/>
      <c r="J28" s="487"/>
      <c r="K28" s="487"/>
      <c r="L28" s="487"/>
      <c r="M28" s="487"/>
      <c r="N28" s="487"/>
      <c r="O28" s="488"/>
    </row>
    <row r="29" spans="2:15" ht="22.05" customHeight="1" x14ac:dyDescent="0.3">
      <c r="B29" s="498" t="s">
        <v>203</v>
      </c>
      <c r="C29" s="499"/>
      <c r="D29" s="499"/>
      <c r="E29" s="500" t="s">
        <v>204</v>
      </c>
      <c r="F29" s="500"/>
      <c r="G29" s="500"/>
      <c r="H29" s="500"/>
      <c r="I29" s="500"/>
      <c r="J29" s="500"/>
      <c r="K29" s="500"/>
      <c r="L29" s="500"/>
      <c r="M29" s="500"/>
      <c r="N29" s="500"/>
      <c r="O29" s="501"/>
    </row>
    <row r="30" spans="2:15" ht="22.05" customHeight="1" x14ac:dyDescent="0.3">
      <c r="B30" s="502" t="s">
        <v>205</v>
      </c>
      <c r="C30" s="503"/>
      <c r="D30" s="503"/>
      <c r="E30" s="500" t="s">
        <v>206</v>
      </c>
      <c r="F30" s="500"/>
      <c r="G30" s="500"/>
      <c r="H30" s="500"/>
      <c r="I30" s="500"/>
      <c r="J30" s="500"/>
      <c r="K30" s="500"/>
      <c r="L30" s="500"/>
      <c r="M30" s="500"/>
      <c r="N30" s="500"/>
      <c r="O30" s="501"/>
    </row>
    <row r="31" spans="2:15" ht="22.05" customHeight="1" x14ac:dyDescent="0.3">
      <c r="B31" s="504" t="s">
        <v>207</v>
      </c>
      <c r="C31" s="505"/>
      <c r="D31" s="505"/>
      <c r="E31" s="500" t="s">
        <v>208</v>
      </c>
      <c r="F31" s="500"/>
      <c r="G31" s="500"/>
      <c r="H31" s="500"/>
      <c r="I31" s="500"/>
      <c r="J31" s="500"/>
      <c r="K31" s="500"/>
      <c r="L31" s="500"/>
      <c r="M31" s="500"/>
      <c r="N31" s="500"/>
      <c r="O31" s="501"/>
    </row>
    <row r="32" spans="2:15" ht="22.05" customHeight="1" thickBot="1" x14ac:dyDescent="0.35">
      <c r="B32" s="506" t="s">
        <v>209</v>
      </c>
      <c r="C32" s="507"/>
      <c r="D32" s="507"/>
      <c r="E32" s="508" t="s">
        <v>210</v>
      </c>
      <c r="F32" s="508"/>
      <c r="G32" s="508"/>
      <c r="H32" s="508"/>
      <c r="I32" s="508"/>
      <c r="J32" s="508"/>
      <c r="K32" s="508"/>
      <c r="L32" s="508"/>
      <c r="M32" s="508"/>
      <c r="N32" s="508"/>
      <c r="O32" s="509"/>
    </row>
    <row r="33" spans="2:15" ht="15" thickBot="1" x14ac:dyDescent="0.35"/>
    <row r="34" spans="2:15" ht="22.05" customHeight="1" x14ac:dyDescent="0.3">
      <c r="B34" s="486" t="s">
        <v>211</v>
      </c>
      <c r="C34" s="487"/>
      <c r="D34" s="487"/>
      <c r="E34" s="487"/>
      <c r="F34" s="487"/>
      <c r="G34" s="487"/>
      <c r="H34" s="487"/>
      <c r="I34" s="487"/>
      <c r="J34" s="487"/>
      <c r="K34" s="487"/>
      <c r="L34" s="487"/>
      <c r="M34" s="487"/>
      <c r="N34" s="487"/>
      <c r="O34" s="488"/>
    </row>
    <row r="35" spans="2:15" ht="19.95" customHeight="1" x14ac:dyDescent="0.3">
      <c r="B35" s="495" t="s">
        <v>212</v>
      </c>
      <c r="C35" s="496"/>
      <c r="D35" s="496"/>
      <c r="E35" s="496" t="s">
        <v>213</v>
      </c>
      <c r="F35" s="496"/>
      <c r="G35" s="496"/>
      <c r="H35" s="496"/>
      <c r="I35" s="496"/>
      <c r="J35" s="496"/>
      <c r="K35" s="496" t="s">
        <v>214</v>
      </c>
      <c r="L35" s="496"/>
      <c r="M35" s="496"/>
      <c r="N35" s="496"/>
      <c r="O35" s="497"/>
    </row>
    <row r="36" spans="2:15" ht="37.950000000000003" customHeight="1" x14ac:dyDescent="0.3">
      <c r="B36" s="510" t="s">
        <v>215</v>
      </c>
      <c r="C36" s="511"/>
      <c r="D36" s="511"/>
      <c r="E36" s="500" t="s">
        <v>216</v>
      </c>
      <c r="F36" s="500"/>
      <c r="G36" s="500"/>
      <c r="H36" s="500"/>
      <c r="I36" s="500"/>
      <c r="J36" s="500"/>
      <c r="K36" s="500" t="s">
        <v>217</v>
      </c>
      <c r="L36" s="500"/>
      <c r="M36" s="500"/>
      <c r="N36" s="500"/>
      <c r="O36" s="501"/>
    </row>
    <row r="37" spans="2:15" ht="97.95" customHeight="1" x14ac:dyDescent="0.3">
      <c r="B37" s="512" t="s">
        <v>218</v>
      </c>
      <c r="C37" s="513"/>
      <c r="D37" s="513"/>
      <c r="E37" s="514" t="s">
        <v>219</v>
      </c>
      <c r="F37" s="514"/>
      <c r="G37" s="514"/>
      <c r="H37" s="514"/>
      <c r="I37" s="514"/>
      <c r="J37" s="514"/>
      <c r="K37" s="514" t="s">
        <v>220</v>
      </c>
      <c r="L37" s="514"/>
      <c r="M37" s="514"/>
      <c r="N37" s="514"/>
      <c r="O37" s="515"/>
    </row>
    <row r="38" spans="2:15" ht="37.950000000000003" customHeight="1" x14ac:dyDescent="0.3">
      <c r="B38" s="512" t="s">
        <v>221</v>
      </c>
      <c r="C38" s="513"/>
      <c r="D38" s="513"/>
      <c r="E38" s="514" t="s">
        <v>222</v>
      </c>
      <c r="F38" s="514"/>
      <c r="G38" s="514"/>
      <c r="H38" s="514"/>
      <c r="I38" s="514"/>
      <c r="J38" s="514"/>
      <c r="K38" s="514" t="s">
        <v>223</v>
      </c>
      <c r="L38" s="514"/>
      <c r="M38" s="514"/>
      <c r="N38" s="514"/>
      <c r="O38" s="515"/>
    </row>
    <row r="39" spans="2:15" ht="67.95" customHeight="1" x14ac:dyDescent="0.3">
      <c r="B39" s="512" t="s">
        <v>224</v>
      </c>
      <c r="C39" s="513"/>
      <c r="D39" s="513"/>
      <c r="E39" s="514" t="s">
        <v>225</v>
      </c>
      <c r="F39" s="514"/>
      <c r="G39" s="514"/>
      <c r="H39" s="514"/>
      <c r="I39" s="514"/>
      <c r="J39" s="514"/>
      <c r="K39" s="514" t="s">
        <v>226</v>
      </c>
      <c r="L39" s="514"/>
      <c r="M39" s="514"/>
      <c r="N39" s="514"/>
      <c r="O39" s="515"/>
    </row>
    <row r="40" spans="2:15" ht="67.95" customHeight="1" x14ac:dyDescent="0.3">
      <c r="B40" s="512" t="s">
        <v>227</v>
      </c>
      <c r="C40" s="513"/>
      <c r="D40" s="513"/>
      <c r="E40" s="514" t="s">
        <v>228</v>
      </c>
      <c r="F40" s="514"/>
      <c r="G40" s="514"/>
      <c r="H40" s="514"/>
      <c r="I40" s="514"/>
      <c r="J40" s="514"/>
      <c r="K40" s="514" t="s">
        <v>229</v>
      </c>
      <c r="L40" s="514"/>
      <c r="M40" s="514"/>
      <c r="N40" s="514"/>
      <c r="O40" s="515"/>
    </row>
    <row r="41" spans="2:15" ht="37.950000000000003" customHeight="1" x14ac:dyDescent="0.3">
      <c r="B41" s="512" t="s">
        <v>183</v>
      </c>
      <c r="C41" s="513"/>
      <c r="D41" s="513"/>
      <c r="E41" s="514" t="s">
        <v>230</v>
      </c>
      <c r="F41" s="514"/>
      <c r="G41" s="514"/>
      <c r="H41" s="514"/>
      <c r="I41" s="514"/>
      <c r="J41" s="514"/>
      <c r="K41" s="514" t="s">
        <v>231</v>
      </c>
      <c r="L41" s="514"/>
      <c r="M41" s="514"/>
      <c r="N41" s="514"/>
      <c r="O41" s="515"/>
    </row>
    <row r="42" spans="2:15" ht="52.95" customHeight="1" thickBot="1" x14ac:dyDescent="0.35">
      <c r="B42" s="516" t="s">
        <v>65</v>
      </c>
      <c r="C42" s="517"/>
      <c r="D42" s="517"/>
      <c r="E42" s="518" t="s">
        <v>232</v>
      </c>
      <c r="F42" s="518"/>
      <c r="G42" s="518"/>
      <c r="H42" s="518"/>
      <c r="I42" s="518"/>
      <c r="J42" s="518"/>
      <c r="K42" s="518" t="s">
        <v>233</v>
      </c>
      <c r="L42" s="518"/>
      <c r="M42" s="518"/>
      <c r="N42" s="518"/>
      <c r="O42" s="519"/>
    </row>
    <row r="43" spans="2:15" ht="15" thickBot="1" x14ac:dyDescent="0.35"/>
    <row r="44" spans="2:15" ht="22.05" customHeight="1" x14ac:dyDescent="0.3">
      <c r="B44" s="486" t="s">
        <v>234</v>
      </c>
      <c r="C44" s="487"/>
      <c r="D44" s="487"/>
      <c r="E44" s="487"/>
      <c r="F44" s="487"/>
      <c r="G44" s="487"/>
      <c r="H44" s="487"/>
      <c r="I44" s="487"/>
      <c r="J44" s="487"/>
      <c r="K44" s="487"/>
      <c r="L44" s="487"/>
      <c r="M44" s="487"/>
      <c r="N44" s="487"/>
      <c r="O44" s="488"/>
    </row>
    <row r="45" spans="2:15" ht="22.95" customHeight="1" x14ac:dyDescent="0.3">
      <c r="B45" s="492" t="s">
        <v>235</v>
      </c>
      <c r="C45" s="493"/>
      <c r="D45" s="493"/>
      <c r="E45" s="493"/>
      <c r="F45" s="493"/>
      <c r="G45" s="493"/>
      <c r="H45" s="493"/>
      <c r="I45" s="493"/>
      <c r="J45" s="493"/>
      <c r="K45" s="493"/>
      <c r="L45" s="493"/>
      <c r="M45" s="493"/>
      <c r="N45" s="493"/>
      <c r="O45" s="494"/>
    </row>
    <row r="46" spans="2:15" ht="22.95" customHeight="1" x14ac:dyDescent="0.3">
      <c r="B46" s="492" t="s">
        <v>236</v>
      </c>
      <c r="C46" s="493"/>
      <c r="D46" s="493"/>
      <c r="E46" s="493"/>
      <c r="F46" s="493"/>
      <c r="G46" s="493"/>
      <c r="H46" s="493"/>
      <c r="I46" s="493"/>
      <c r="J46" s="493"/>
      <c r="K46" s="493"/>
      <c r="L46" s="493"/>
      <c r="M46" s="493"/>
      <c r="N46" s="493"/>
      <c r="O46" s="494"/>
    </row>
    <row r="47" spans="2:15" ht="22.95" customHeight="1" x14ac:dyDescent="0.3">
      <c r="B47" s="492" t="s">
        <v>237</v>
      </c>
      <c r="C47" s="493"/>
      <c r="D47" s="493"/>
      <c r="E47" s="493"/>
      <c r="F47" s="493"/>
      <c r="G47" s="493"/>
      <c r="H47" s="493"/>
      <c r="I47" s="493"/>
      <c r="J47" s="493"/>
      <c r="K47" s="493"/>
      <c r="L47" s="493"/>
      <c r="M47" s="493"/>
      <c r="N47" s="493"/>
      <c r="O47" s="494"/>
    </row>
    <row r="48" spans="2:15" ht="22.95" customHeight="1" x14ac:dyDescent="0.3">
      <c r="B48" s="492" t="s">
        <v>238</v>
      </c>
      <c r="C48" s="493"/>
      <c r="D48" s="493"/>
      <c r="E48" s="493"/>
      <c r="F48" s="493"/>
      <c r="G48" s="493"/>
      <c r="H48" s="493"/>
      <c r="I48" s="493"/>
      <c r="J48" s="493"/>
      <c r="K48" s="493"/>
      <c r="L48" s="493"/>
      <c r="M48" s="493"/>
      <c r="N48" s="493"/>
      <c r="O48" s="494"/>
    </row>
    <row r="49" spans="2:15" ht="22.95" customHeight="1" x14ac:dyDescent="0.3">
      <c r="B49" s="492" t="s">
        <v>239</v>
      </c>
      <c r="C49" s="493"/>
      <c r="D49" s="493"/>
      <c r="E49" s="493"/>
      <c r="F49" s="493"/>
      <c r="G49" s="493"/>
      <c r="H49" s="493"/>
      <c r="I49" s="493"/>
      <c r="J49" s="493"/>
      <c r="K49" s="493"/>
      <c r="L49" s="493"/>
      <c r="M49" s="493"/>
      <c r="N49" s="493"/>
      <c r="O49" s="494"/>
    </row>
    <row r="50" spans="2:15" ht="49.95" customHeight="1" thickBot="1" x14ac:dyDescent="0.35">
      <c r="B50" s="489" t="s">
        <v>252</v>
      </c>
      <c r="C50" s="490"/>
      <c r="D50" s="490"/>
      <c r="E50" s="490"/>
      <c r="F50" s="490"/>
      <c r="G50" s="490"/>
      <c r="H50" s="490"/>
      <c r="I50" s="490"/>
      <c r="J50" s="490"/>
      <c r="K50" s="490"/>
      <c r="L50" s="490"/>
      <c r="M50" s="490"/>
      <c r="N50" s="490"/>
      <c r="O50" s="491"/>
    </row>
    <row r="51" spans="2:15" ht="15" thickBot="1" x14ac:dyDescent="0.35"/>
    <row r="52" spans="2:15" ht="22.05" customHeight="1" x14ac:dyDescent="0.3">
      <c r="B52" s="520" t="s">
        <v>240</v>
      </c>
      <c r="C52" s="521"/>
      <c r="D52" s="521"/>
      <c r="E52" s="521"/>
      <c r="F52" s="521"/>
      <c r="G52" s="521"/>
      <c r="H52" s="521"/>
      <c r="I52" s="521"/>
      <c r="J52" s="521"/>
      <c r="K52" s="521"/>
      <c r="L52" s="521"/>
      <c r="M52" s="521"/>
      <c r="N52" s="521"/>
      <c r="O52" s="522"/>
    </row>
    <row r="53" spans="2:15" ht="22.95" customHeight="1" x14ac:dyDescent="0.3">
      <c r="B53" s="492" t="s">
        <v>241</v>
      </c>
      <c r="C53" s="493"/>
      <c r="D53" s="493"/>
      <c r="E53" s="493"/>
      <c r="F53" s="493"/>
      <c r="G53" s="493"/>
      <c r="H53" s="493"/>
      <c r="I53" s="493"/>
      <c r="J53" s="493"/>
      <c r="K53" s="493"/>
      <c r="L53" s="493"/>
      <c r="M53" s="493"/>
      <c r="N53" s="493"/>
      <c r="O53" s="494"/>
    </row>
    <row r="54" spans="2:15" ht="22.95" customHeight="1" x14ac:dyDescent="0.3">
      <c r="B54" s="492" t="s">
        <v>242</v>
      </c>
      <c r="C54" s="493"/>
      <c r="D54" s="493"/>
      <c r="E54" s="493"/>
      <c r="F54" s="493"/>
      <c r="G54" s="493"/>
      <c r="H54" s="493"/>
      <c r="I54" s="493"/>
      <c r="J54" s="493"/>
      <c r="K54" s="493"/>
      <c r="L54" s="493"/>
      <c r="M54" s="493"/>
      <c r="N54" s="493"/>
      <c r="O54" s="494"/>
    </row>
    <row r="55" spans="2:15" ht="22.95" customHeight="1" thickBot="1" x14ac:dyDescent="0.35">
      <c r="B55" s="489" t="s">
        <v>243</v>
      </c>
      <c r="C55" s="490"/>
      <c r="D55" s="490"/>
      <c r="E55" s="490"/>
      <c r="F55" s="490"/>
      <c r="G55" s="490"/>
      <c r="H55" s="490"/>
      <c r="I55" s="490"/>
      <c r="J55" s="490"/>
      <c r="K55" s="490"/>
      <c r="L55" s="490"/>
      <c r="M55" s="490"/>
      <c r="N55" s="490"/>
      <c r="O55" s="491"/>
    </row>
    <row r="56" spans="2:15" ht="15" thickBot="1" x14ac:dyDescent="0.35"/>
    <row r="57" spans="2:15" ht="22.05" customHeight="1" x14ac:dyDescent="0.3">
      <c r="B57" s="520" t="s">
        <v>244</v>
      </c>
      <c r="C57" s="521"/>
      <c r="D57" s="521"/>
      <c r="E57" s="521"/>
      <c r="F57" s="521"/>
      <c r="G57" s="521"/>
      <c r="H57" s="521"/>
      <c r="I57" s="521"/>
      <c r="J57" s="521"/>
      <c r="K57" s="521"/>
      <c r="L57" s="521"/>
      <c r="M57" s="521"/>
      <c r="N57" s="521"/>
      <c r="O57" s="522"/>
    </row>
    <row r="58" spans="2:15" ht="22.95" customHeight="1" x14ac:dyDescent="0.3">
      <c r="B58" s="492" t="s">
        <v>245</v>
      </c>
      <c r="C58" s="493"/>
      <c r="D58" s="493"/>
      <c r="E58" s="493"/>
      <c r="F58" s="493"/>
      <c r="G58" s="493"/>
      <c r="H58" s="493"/>
      <c r="I58" s="493"/>
      <c r="J58" s="493"/>
      <c r="K58" s="493"/>
      <c r="L58" s="493"/>
      <c r="M58" s="493"/>
      <c r="N58" s="493"/>
      <c r="O58" s="494"/>
    </row>
    <row r="59" spans="2:15" ht="37.950000000000003" customHeight="1" x14ac:dyDescent="0.3">
      <c r="B59" s="492" t="s">
        <v>246</v>
      </c>
      <c r="C59" s="493"/>
      <c r="D59" s="493"/>
      <c r="E59" s="493"/>
      <c r="F59" s="493"/>
      <c r="G59" s="493"/>
      <c r="H59" s="493"/>
      <c r="I59" s="493"/>
      <c r="J59" s="493"/>
      <c r="K59" s="493"/>
      <c r="L59" s="493"/>
      <c r="M59" s="493"/>
      <c r="N59" s="493"/>
      <c r="O59" s="494"/>
    </row>
    <row r="60" spans="2:15" ht="37.950000000000003" customHeight="1" thickBot="1" x14ac:dyDescent="0.35">
      <c r="B60" s="489" t="s">
        <v>247</v>
      </c>
      <c r="C60" s="490"/>
      <c r="D60" s="490"/>
      <c r="E60" s="490"/>
      <c r="F60" s="490"/>
      <c r="G60" s="490"/>
      <c r="H60" s="490"/>
      <c r="I60" s="490"/>
      <c r="J60" s="490"/>
      <c r="K60" s="490"/>
      <c r="L60" s="490"/>
      <c r="M60" s="490"/>
      <c r="N60" s="490"/>
      <c r="O60" s="491"/>
    </row>
  </sheetData>
  <mergeCells count="81">
    <mergeCell ref="B60:O60"/>
    <mergeCell ref="B47:O47"/>
    <mergeCell ref="B48:O48"/>
    <mergeCell ref="B49:O49"/>
    <mergeCell ref="B50:O50"/>
    <mergeCell ref="B52:O52"/>
    <mergeCell ref="B53:O53"/>
    <mergeCell ref="B54:O54"/>
    <mergeCell ref="B55:O55"/>
    <mergeCell ref="B57:O57"/>
    <mergeCell ref="B58:O58"/>
    <mergeCell ref="B59:O59"/>
    <mergeCell ref="B46:O46"/>
    <mergeCell ref="B40:D40"/>
    <mergeCell ref="E40:J40"/>
    <mergeCell ref="K40:O40"/>
    <mergeCell ref="B41:D41"/>
    <mergeCell ref="E41:J41"/>
    <mergeCell ref="K41:O41"/>
    <mergeCell ref="B42:D42"/>
    <mergeCell ref="E42:J42"/>
    <mergeCell ref="K42:O42"/>
    <mergeCell ref="B44:O44"/>
    <mergeCell ref="B45:O45"/>
    <mergeCell ref="B38:D38"/>
    <mergeCell ref="E38:J38"/>
    <mergeCell ref="K38:O38"/>
    <mergeCell ref="B39:D39"/>
    <mergeCell ref="E39:J39"/>
    <mergeCell ref="K39:O39"/>
    <mergeCell ref="B36:D36"/>
    <mergeCell ref="E36:J36"/>
    <mergeCell ref="K36:O36"/>
    <mergeCell ref="B37:D37"/>
    <mergeCell ref="E37:J37"/>
    <mergeCell ref="K37:O37"/>
    <mergeCell ref="B35:D35"/>
    <mergeCell ref="E35:J35"/>
    <mergeCell ref="K35:O35"/>
    <mergeCell ref="B26:O26"/>
    <mergeCell ref="B28:O28"/>
    <mergeCell ref="B29:D29"/>
    <mergeCell ref="E29:O29"/>
    <mergeCell ref="B30:D30"/>
    <mergeCell ref="E30:O30"/>
    <mergeCell ref="B31:D31"/>
    <mergeCell ref="E31:O31"/>
    <mergeCell ref="B32:D32"/>
    <mergeCell ref="E32:O32"/>
    <mergeCell ref="B34:O34"/>
    <mergeCell ref="B25:O25"/>
    <mergeCell ref="B19:O19"/>
    <mergeCell ref="B5:O5"/>
    <mergeCell ref="B6:E6"/>
    <mergeCell ref="F6:O6"/>
    <mergeCell ref="B7:E7"/>
    <mergeCell ref="B12:E12"/>
    <mergeCell ref="F12:O12"/>
    <mergeCell ref="B13:E13"/>
    <mergeCell ref="F13:O13"/>
    <mergeCell ref="B20:O20"/>
    <mergeCell ref="B21:O21"/>
    <mergeCell ref="B22:O22"/>
    <mergeCell ref="B23:O23"/>
    <mergeCell ref="B24:O24"/>
    <mergeCell ref="B2:C3"/>
    <mergeCell ref="D2:O2"/>
    <mergeCell ref="D3:O3"/>
    <mergeCell ref="B16:O16"/>
    <mergeCell ref="B17:O17"/>
    <mergeCell ref="F7:O7"/>
    <mergeCell ref="B8:E8"/>
    <mergeCell ref="F8:O8"/>
    <mergeCell ref="B9:E9"/>
    <mergeCell ref="F9:O9"/>
    <mergeCell ref="B14:E14"/>
    <mergeCell ref="F14:O14"/>
    <mergeCell ref="B10:E10"/>
    <mergeCell ref="F10:O10"/>
    <mergeCell ref="B11:E11"/>
    <mergeCell ref="F11:O11"/>
  </mergeCells>
  <hyperlinks>
    <hyperlink ref="B36" location="'Readme'!A1" tooltip="Go to Readme" display="Readme" xr:uid="{4BF70390-14DC-4FF6-8EDC-1C46B424A3EA}"/>
    <hyperlink ref="B37" location="'Input Group 1'!A1" tooltip="Go to Input Group 1" display="Input Group 1" xr:uid="{9A6B9B29-5359-4D5C-B8CE-1E7CA5A4C869}"/>
    <hyperlink ref="B38" location="'Input Group 2'!A1" tooltip="Go to Input Group 2" display="Input Group 2" xr:uid="{42B1D6FD-4526-478E-814B-B851A753A7AC}"/>
    <hyperlink ref="B39" location="'Heatmap'!A1" tooltip="Go to Heatmap" display="Heatmap" xr:uid="{8E59CC2F-0B92-4349-A02C-EEBF49FFE84C}"/>
    <hyperlink ref="B40" location="'PRIDE-RL ranking'!A1" tooltip="Go to PRIDE-RL ranking" display="PRIDE-RL ranking" xr:uid="{9C0C773A-7B68-408B-8AAA-51CF31A0D7F3}"/>
    <hyperlink ref="B41" location="'PRIDe-RL scoring framework'!A1" tooltip="Go to PRIDe-RL scoring framework" display="PRIDe-RL scoring framework" xr:uid="{37B7EE51-5709-4984-BF0C-D9E4D8FFC963}"/>
    <hyperlink ref="B42" location="'References'!A1" tooltip="Go to References" display="References" xr:uid="{589D5EBB-F57F-4E15-99C4-689AC55D6310}"/>
    <hyperlink ref="B10" r:id="rId1" display="https://grupolabr.com/Team.html" xr:uid="{79A75737-2511-4BEB-8F6C-39DCE15C461B}"/>
    <hyperlink ref="F10" r:id="rId2" xr:uid="{0C831F0D-4189-4F85-8136-C8645602CC5A}"/>
    <hyperlink ref="F10:O10" r:id="rId3" display="https://orcid.org/0000-0002-7159-4593" xr:uid="{2E5EE463-63AF-4D9F-B251-7522159F43A0}"/>
    <hyperlink ref="F12" r:id="rId4" xr:uid="{ECA4943E-4709-4031-B3E5-3A325858D914}"/>
    <hyperlink ref="F13" r:id="rId5" xr:uid="{224484D1-681C-430A-91AC-9C1E1C52072F}"/>
  </hyperlinks>
  <pageMargins left="0.511811024" right="0.511811024" top="0.78740157499999996" bottom="0.78740157499999996" header="0.31496062000000002" footer="0.31496062000000002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FB9F-BC45-4BD3-B39E-5CDED210FD34}">
  <sheetPr>
    <tabColor rgb="FFC00000"/>
  </sheetPr>
  <dimension ref="A1:AZ82"/>
  <sheetViews>
    <sheetView showGridLines="0" showRowColHeaders="0" topLeftCell="AD10" zoomScaleNormal="100" workbookViewId="0">
      <selection activeCell="AL24" sqref="AL24:AM24"/>
    </sheetView>
  </sheetViews>
  <sheetFormatPr defaultColWidth="9.109375" defaultRowHeight="25.05" customHeight="1" x14ac:dyDescent="0.3"/>
  <cols>
    <col min="1" max="1" width="1" style="1" customWidth="1"/>
    <col min="2" max="2" width="17.109375" style="1" customWidth="1"/>
    <col min="3" max="3" width="12.77734375" style="1" customWidth="1"/>
    <col min="4" max="4" width="8.77734375" style="1" customWidth="1"/>
    <col min="5" max="5" width="17.21875" style="1" customWidth="1"/>
    <col min="6" max="17" width="14.77734375" style="1" customWidth="1"/>
    <col min="18" max="20" width="14.77734375" style="2" customWidth="1"/>
    <col min="21" max="23" width="14.77734375" style="1" customWidth="1"/>
    <col min="24" max="25" width="23.77734375" style="1" customWidth="1"/>
    <col min="26" max="27" width="16.77734375" style="1" customWidth="1"/>
    <col min="28" max="29" width="26.77734375" style="1" customWidth="1"/>
    <col min="30" max="31" width="16.77734375" style="1" customWidth="1"/>
    <col min="32" max="33" width="26.77734375" style="1" customWidth="1"/>
    <col min="34" max="35" width="16.77734375" style="1" customWidth="1"/>
    <col min="36" max="37" width="26.77734375" style="1" customWidth="1"/>
    <col min="38" max="39" width="15.77734375" style="1" customWidth="1"/>
    <col min="40" max="41" width="23.77734375" style="1" customWidth="1"/>
    <col min="42" max="42" width="2.77734375" style="1" customWidth="1"/>
    <col min="43" max="43" width="26.5546875" style="1" bestFit="1" customWidth="1"/>
    <col min="44" max="44" width="34" style="1" customWidth="1"/>
    <col min="45" max="45" width="15.21875" style="1" customWidth="1"/>
    <col min="46" max="47" width="28.77734375" style="1" customWidth="1"/>
    <col min="48" max="48" width="30.6640625" style="1" bestFit="1" customWidth="1"/>
    <col min="49" max="16384" width="9.109375" style="1"/>
  </cols>
  <sheetData>
    <row r="1" spans="2:48" ht="4.95" customHeight="1" thickBot="1" x14ac:dyDescent="0.35"/>
    <row r="2" spans="2:48" ht="79.95" customHeight="1" thickTop="1" x14ac:dyDescent="0.3">
      <c r="B2" s="466"/>
      <c r="C2" s="467"/>
      <c r="D2" s="473" t="s">
        <v>140</v>
      </c>
      <c r="E2" s="474"/>
      <c r="F2" s="474"/>
      <c r="G2" s="474"/>
      <c r="H2" s="474"/>
      <c r="I2" s="474"/>
      <c r="J2" s="474"/>
      <c r="K2" s="474"/>
      <c r="L2" s="474"/>
      <c r="M2" s="474"/>
      <c r="N2" s="475"/>
    </row>
    <row r="3" spans="2:48" ht="37.950000000000003" customHeight="1" thickBot="1" x14ac:dyDescent="0.35">
      <c r="B3" s="468"/>
      <c r="C3" s="469"/>
      <c r="D3" s="476" t="s">
        <v>154</v>
      </c>
      <c r="E3" s="477"/>
      <c r="F3" s="477"/>
      <c r="G3" s="477"/>
      <c r="H3" s="477"/>
      <c r="I3" s="477"/>
      <c r="J3" s="477"/>
      <c r="K3" s="477"/>
      <c r="L3" s="477"/>
      <c r="M3" s="477"/>
      <c r="N3" s="478"/>
    </row>
    <row r="4" spans="2:48" ht="15" customHeight="1" thickTop="1" thickBot="1" x14ac:dyDescent="0.35">
      <c r="C4" s="87"/>
      <c r="D4" s="49"/>
      <c r="P4" s="3"/>
    </row>
    <row r="5" spans="2:48" ht="25.05" customHeight="1" thickTop="1" x14ac:dyDescent="0.3">
      <c r="B5" s="384" t="s">
        <v>17</v>
      </c>
      <c r="C5" s="385"/>
      <c r="D5" s="385"/>
      <c r="E5" s="385"/>
      <c r="F5" s="386"/>
      <c r="G5" s="103">
        <v>0.9</v>
      </c>
      <c r="H5" s="393"/>
      <c r="I5" s="394"/>
      <c r="J5" s="394"/>
      <c r="K5" s="394"/>
      <c r="L5" s="394"/>
      <c r="M5" s="394"/>
      <c r="N5" s="394"/>
      <c r="O5" s="395"/>
      <c r="P5" s="3">
        <v>0.8</v>
      </c>
    </row>
    <row r="6" spans="2:48" ht="25.05" customHeight="1" thickBot="1" x14ac:dyDescent="0.35">
      <c r="B6" s="387" t="s">
        <v>18</v>
      </c>
      <c r="C6" s="388"/>
      <c r="D6" s="388"/>
      <c r="E6" s="388"/>
      <c r="F6" s="389"/>
      <c r="G6" s="6">
        <f>1-IF(G5="",0.9,G5)</f>
        <v>9.9999999999999978E-2</v>
      </c>
      <c r="H6" s="396"/>
      <c r="I6" s="397"/>
      <c r="J6" s="397"/>
      <c r="K6" s="397"/>
      <c r="L6" s="397"/>
      <c r="M6" s="397"/>
      <c r="N6" s="397"/>
      <c r="O6" s="398"/>
      <c r="P6" s="3">
        <v>0.9</v>
      </c>
    </row>
    <row r="7" spans="2:48" ht="25.05" customHeight="1" x14ac:dyDescent="0.3">
      <c r="B7" s="387" t="str">
        <f>"Cumulative probability (quantile order, "&amp;IF(G5="","1 − α/2",SUBSTITUTE(ROUND(1-(1-G5)/2,4)&amp;"",",","."))&amp;")"</f>
        <v>Cumulative probability (quantile order, 0.95)</v>
      </c>
      <c r="C7" s="388"/>
      <c r="D7" s="388"/>
      <c r="E7" s="388"/>
      <c r="F7" s="389"/>
      <c r="G7" s="5">
        <f>1-G6/2</f>
        <v>0.95</v>
      </c>
      <c r="H7" s="402" t="s">
        <v>43</v>
      </c>
      <c r="I7" s="402"/>
      <c r="J7" s="402"/>
      <c r="K7" s="402"/>
      <c r="L7" s="402"/>
      <c r="M7" s="402"/>
      <c r="N7" s="402"/>
      <c r="O7" s="403"/>
      <c r="P7" s="3"/>
    </row>
    <row r="8" spans="2:48" ht="25.05" customHeight="1" thickBot="1" x14ac:dyDescent="0.35">
      <c r="B8" s="390" t="str" cm="1">
        <f t="array" ref="B8">"Standard normal quantile (critical value, z"&amp;IF(G5="","₁₋α/₂",_xlfn.LET(_xlpm.p,ROUND(1-(1-G5)/2,4),_xlpm.d,SUBSTITUTE(_xlpm.p&amp;"",",","."),_xlfn.TEXTJOIN("",1,IFERROR(_xlfn.UNICHAR(8320+MID(_xlpm.d,_xlfn.SEQUENCE(LEN(_xlpm.d)),1)),"."))))&amp;")"</f>
        <v>Standard normal quantile (critical value, z₀.₉₅)</v>
      </c>
      <c r="C8" s="391"/>
      <c r="D8" s="391"/>
      <c r="E8" s="391"/>
      <c r="F8" s="392"/>
      <c r="G8" s="29">
        <f>_xlfn.NORM.S.INV(G7)</f>
        <v>1.6448536269514715</v>
      </c>
      <c r="H8" s="399" t="str" cm="1">
        <f t="array" ref="H8">_xlfn.LET(_xlpm.cl,IF(G5="",0.9,G5),_xlpm.p,ROUND(1-(1-_xlpm.cl)/2,4),_xlpm.d,SUBSTITUTE(_xlpm.p&amp;"",",","."),_xlpm.sub,_xlfn.TEXTJOIN("",1,IFERROR(_xlfn.UNICHAR(8320+MID(_xlpm.d,_xlfn.SEQUENCE(LEN(_xlpm.d)),1)),".")),"where z"&amp;_xlpm.sub&amp;" = "&amp;SUBSTITUTE(FIXED(_xlfn.NORM.S.INV(_xlpm.p),4,TRUE)&amp;"",",",".")&amp;" is the standard normal quantile corresponding to a two-sided nominal coverage probability of "&amp;SUBSTITUTE(ROUND(_xlpm.cl*100,2)&amp;"",",",".")&amp;"%.")</f>
        <v>where z₀.₉₅ = 1.6449 is the standard normal quantile corresponding to a two-sided nominal coverage probability of 90%.</v>
      </c>
      <c r="I8" s="400"/>
      <c r="J8" s="400"/>
      <c r="K8" s="400"/>
      <c r="L8" s="400"/>
      <c r="M8" s="400"/>
      <c r="N8" s="400"/>
      <c r="O8" s="401"/>
      <c r="P8" s="4"/>
      <c r="AQ8" s="306"/>
      <c r="AR8" s="306"/>
      <c r="AS8" s="306"/>
      <c r="AT8" s="306"/>
      <c r="AU8" s="306"/>
      <c r="AV8" s="306"/>
    </row>
    <row r="9" spans="2:48" ht="19.95" customHeight="1" thickTop="1" thickBot="1" x14ac:dyDescent="0.35">
      <c r="AQ9" s="306"/>
      <c r="AR9" s="306"/>
      <c r="AS9" s="306"/>
      <c r="AT9" s="306"/>
      <c r="AU9" s="306"/>
      <c r="AV9" s="306"/>
    </row>
    <row r="10" spans="2:48" ht="25.05" customHeight="1" thickTop="1" x14ac:dyDescent="0.3">
      <c r="B10" s="380" t="s">
        <v>27</v>
      </c>
      <c r="C10" s="382" t="s">
        <v>144</v>
      </c>
      <c r="D10" s="382" t="s">
        <v>109</v>
      </c>
      <c r="E10" s="382" t="s">
        <v>44</v>
      </c>
      <c r="F10" s="406" t="s">
        <v>135</v>
      </c>
      <c r="G10" s="407"/>
      <c r="H10" s="382" t="s">
        <v>19</v>
      </c>
      <c r="I10" s="382" t="s">
        <v>20</v>
      </c>
      <c r="J10" s="382" t="s">
        <v>168</v>
      </c>
      <c r="K10" s="404" t="s">
        <v>21</v>
      </c>
      <c r="L10" s="382" t="s">
        <v>14</v>
      </c>
      <c r="M10" s="382" t="s">
        <v>15</v>
      </c>
      <c r="N10" s="382" t="s">
        <v>24</v>
      </c>
      <c r="O10" s="423" t="s">
        <v>23</v>
      </c>
      <c r="P10" s="419" t="s">
        <v>26</v>
      </c>
      <c r="Q10" s="442"/>
      <c r="R10" s="382" t="s">
        <v>25</v>
      </c>
      <c r="S10" s="423" t="s">
        <v>22</v>
      </c>
      <c r="T10" s="419" t="s">
        <v>81</v>
      </c>
      <c r="U10" s="420"/>
      <c r="V10" s="411" t="s">
        <v>28</v>
      </c>
      <c r="W10" s="412"/>
      <c r="X10" s="88" t="s">
        <v>30</v>
      </c>
      <c r="Y10" s="89" t="s">
        <v>251</v>
      </c>
      <c r="Z10" s="411" t="s">
        <v>32</v>
      </c>
      <c r="AA10" s="412"/>
      <c r="AB10" s="88" t="s">
        <v>34</v>
      </c>
      <c r="AC10" s="89" t="s">
        <v>36</v>
      </c>
      <c r="AD10" s="411" t="s">
        <v>31</v>
      </c>
      <c r="AE10" s="412"/>
      <c r="AF10" s="88" t="s">
        <v>38</v>
      </c>
      <c r="AG10" s="89" t="s">
        <v>39</v>
      </c>
      <c r="AH10" s="411" t="s">
        <v>40</v>
      </c>
      <c r="AI10" s="412"/>
      <c r="AJ10" s="88" t="s">
        <v>41</v>
      </c>
      <c r="AK10" s="89" t="s">
        <v>42</v>
      </c>
      <c r="AL10" s="411" t="s">
        <v>33</v>
      </c>
      <c r="AM10" s="412"/>
      <c r="AN10" s="88" t="s">
        <v>35</v>
      </c>
      <c r="AO10" s="89" t="s">
        <v>37</v>
      </c>
      <c r="AQ10" s="306"/>
      <c r="AR10" s="306"/>
      <c r="AS10" s="306"/>
      <c r="AT10" s="306"/>
      <c r="AU10" s="306"/>
      <c r="AV10" s="306"/>
    </row>
    <row r="11" spans="2:48" ht="25.05" customHeight="1" x14ac:dyDescent="0.3">
      <c r="B11" s="381"/>
      <c r="C11" s="383"/>
      <c r="D11" s="383"/>
      <c r="E11" s="383"/>
      <c r="F11" s="31" t="s">
        <v>0</v>
      </c>
      <c r="G11" s="31" t="s">
        <v>1</v>
      </c>
      <c r="H11" s="383"/>
      <c r="I11" s="383"/>
      <c r="J11" s="383"/>
      <c r="K11" s="405"/>
      <c r="L11" s="383"/>
      <c r="M11" s="383"/>
      <c r="N11" s="383"/>
      <c r="O11" s="424"/>
      <c r="P11" s="421"/>
      <c r="Q11" s="443"/>
      <c r="R11" s="383"/>
      <c r="S11" s="424"/>
      <c r="T11" s="421"/>
      <c r="U11" s="422"/>
      <c r="V11" s="90" t="s">
        <v>0</v>
      </c>
      <c r="W11" s="91" t="s">
        <v>1</v>
      </c>
      <c r="X11" s="91" t="s">
        <v>29</v>
      </c>
      <c r="Y11" s="92" t="s">
        <v>29</v>
      </c>
      <c r="Z11" s="90" t="s">
        <v>0</v>
      </c>
      <c r="AA11" s="91" t="s">
        <v>1</v>
      </c>
      <c r="AB11" s="91" t="s">
        <v>29</v>
      </c>
      <c r="AC11" s="92" t="s">
        <v>29</v>
      </c>
      <c r="AD11" s="90" t="s">
        <v>0</v>
      </c>
      <c r="AE11" s="91" t="s">
        <v>1</v>
      </c>
      <c r="AF11" s="91" t="s">
        <v>29</v>
      </c>
      <c r="AG11" s="92" t="s">
        <v>29</v>
      </c>
      <c r="AH11" s="90" t="s">
        <v>0</v>
      </c>
      <c r="AI11" s="91" t="s">
        <v>1</v>
      </c>
      <c r="AJ11" s="91" t="s">
        <v>29</v>
      </c>
      <c r="AK11" s="92" t="s">
        <v>29</v>
      </c>
      <c r="AL11" s="90" t="s">
        <v>0</v>
      </c>
      <c r="AM11" s="91" t="s">
        <v>1</v>
      </c>
      <c r="AN11" s="91" t="s">
        <v>29</v>
      </c>
      <c r="AO11" s="92" t="s">
        <v>29</v>
      </c>
      <c r="AQ11" s="306"/>
      <c r="AR11" s="306"/>
      <c r="AS11" s="306"/>
      <c r="AT11" s="306"/>
      <c r="AU11" s="306"/>
      <c r="AV11" s="306"/>
    </row>
    <row r="12" spans="2:48" ht="25.05" customHeight="1" x14ac:dyDescent="0.3">
      <c r="B12" s="56" t="s">
        <v>2</v>
      </c>
      <c r="C12" s="57" t="s">
        <v>145</v>
      </c>
      <c r="D12" s="57">
        <v>533</v>
      </c>
      <c r="E12" s="58">
        <v>0</v>
      </c>
      <c r="F12" s="58">
        <v>47</v>
      </c>
      <c r="G12" s="58">
        <v>164</v>
      </c>
      <c r="H12" s="59">
        <f t="shared" ref="H12:H23" si="0">IFERROR(SQRT(EXP(((LN(G12)-LN(IF(OR(F12="",F12=0),IF(G12="","",0.15*G12),F12)))/3.92)^2)-1),"")</f>
        <v>0.32708062246676012</v>
      </c>
      <c r="I12" s="60">
        <f t="shared" ref="I12:I23" si="1">IFERROR(((SQRT(H12*100-0.25))/100),"")</f>
        <v>5.6971977538677748E-2</v>
      </c>
      <c r="J12" s="61">
        <f t="shared" ref="J12:J23" si="2">IFERROR(EXP((IF(OR(F12="",F12=0),LN(G12*0.15),LN(F12))+LN(G12))/2),"")</f>
        <v>87.795216270591879</v>
      </c>
      <c r="K12" s="61">
        <f t="shared" ref="K12:K23" si="3">IFERROR(I12*J12,"")</f>
        <v>5.0018670893715154</v>
      </c>
      <c r="L12" s="62">
        <f t="shared" ref="L12:L23" si="4">IFERROR((K12-0.2*K12)/J12,"")</f>
        <v>4.5577582030942199E-2</v>
      </c>
      <c r="M12" s="62">
        <f t="shared" ref="M12:M23" si="5">IFERROR(0.2*K12,"")</f>
        <v>1.0003734178743031</v>
      </c>
      <c r="N12" s="61">
        <f t="shared" ref="N12:N23" si="6">IFERROR(IF(F12="","",F12*L12+M12),"")</f>
        <v>3.1425197733285861</v>
      </c>
      <c r="O12" s="61">
        <f t="shared" ref="O12:O23" si="7">IFERROR($G$8*N12,"")</f>
        <v>5.1689850469262408</v>
      </c>
      <c r="P12" s="378" t="str">
        <f t="shared" ref="P12:P23" si="8">IFERROR(CONCATENATE(ROUND(F12-O12,IF(E12="",3,E12))," to ",ROUND(F12+O12,IF(E12="",3,E12))),"")</f>
        <v>42 to 52</v>
      </c>
      <c r="Q12" s="379"/>
      <c r="R12" s="61">
        <f t="shared" ref="R12:R23" si="9">IFERROR(IF(G12="","",G12*L12+M12),"")</f>
        <v>8.4750968709488248</v>
      </c>
      <c r="S12" s="61">
        <f t="shared" ref="S12:S23" si="10">IFERROR($G$8*R12,"")</f>
        <v>13.940293826945242</v>
      </c>
      <c r="T12" s="378" t="str">
        <f t="shared" ref="T12:T23" si="11">IFERROR(CONCATENATE(ROUND(G12-S12,IF(E12="",3,E12))," to ",ROUND(G12+S12,IF(E12="",3,E12))),"")</f>
        <v>150 to 178</v>
      </c>
      <c r="U12" s="379"/>
      <c r="V12" s="94">
        <v>29.5</v>
      </c>
      <c r="W12" s="95">
        <v>151</v>
      </c>
      <c r="X12" s="63">
        <f t="shared" ref="X12:X23" si="12">IF(OR($F12="",$V12=""),"",IF(AND(ROUND($V12,IF($E12="",3,$E12))&gt;=ROUND($F12-$O12,IF($E12="",3,$E12)),ROUND($V12,IF($E12="",3,$E12))&lt;=ROUND($F12+$O12,IF($E12="",3,$E12))),1,0))</f>
        <v>0</v>
      </c>
      <c r="Y12" s="64">
        <f t="shared" ref="Y12:Y23" si="13">IF(OR($G12="",$W12=""),"",IF(AND(ROUND($W12,IF($E12="",3,$E12))&gt;=ROUND($G12-$S12,IF($E12="",3,$E12)),ROUND($W12,IF($E12="",3,$E12))&lt;=ROUND($G12+$S12,IF($E12="",3,$E12))),1,0))</f>
        <v>1</v>
      </c>
      <c r="Z12" s="94">
        <v>37.799999999999997</v>
      </c>
      <c r="AA12" s="95">
        <v>143</v>
      </c>
      <c r="AB12" s="63">
        <f t="shared" ref="AB12:AB23" si="14">IF(OR($F12="",$Z12=""),"",IF(AND(ROUND($Z12,IF($E12="",3,$E12))&gt;=ROUND($F12-$O12,IF($E12="",3,$E12)),ROUND($Z12,IF($E12="",3,$E12))&lt;=ROUND($F12+$O12,IF($E12="",3,$E12))),1,0))</f>
        <v>0</v>
      </c>
      <c r="AC12" s="64">
        <f t="shared" ref="AC12:AC23" si="15">IF(OR($G12="",$AA12=""),"",IF(AND(ROUND($AA12,IF($E12="",3,$E12))&gt;=ROUND($G12-$S12,IF($E12="",3,$E12)),ROUND($AA12,IF($E12="",3,$E12))&lt;=ROUND($G12+$S12,IF($E12="",3,$E12))),1,0))</f>
        <v>0</v>
      </c>
      <c r="AD12" s="94">
        <v>47.4</v>
      </c>
      <c r="AE12" s="95">
        <v>147</v>
      </c>
      <c r="AF12" s="63">
        <f t="shared" ref="AF12:AF23" si="16">IF(OR($F12="",$AD12=""),"",IF(AND(ROUND($AD12,IF($E12="",3,$E12))&gt;=ROUND($F12-$O12,IF($E12="",3,$E12)),ROUND($AD12,IF($E12="",3,$E12))&lt;=ROUND($F12+$O12,IF($E12="",3,$E12))),1,0))</f>
        <v>1</v>
      </c>
      <c r="AG12" s="64">
        <f t="shared" ref="AG12:AG23" si="17">IF(OR($G12="",$AE12=""),"",IF(AND(ROUND($AE12,IF($E12="",3,$E12))&gt;=ROUND($G12-$S12,IF($E12="",3,$E12)),ROUND($AE12,IF($E12="",3,$E12))&lt;=ROUND($G12+$S12,IF($E12="",3,$E12))),1,0))</f>
        <v>0</v>
      </c>
      <c r="AH12" s="94">
        <v>45.3</v>
      </c>
      <c r="AI12" s="95">
        <v>160.19999999999999</v>
      </c>
      <c r="AJ12" s="63">
        <f t="shared" ref="AJ12:AJ23" si="18">IF(OR($F12="",$AH12=""),"",IF(AND(ROUND($AH12,IF($E12="",3,$E12))&gt;=ROUND($F12-$O12,IF($E12="",3,$E12)),ROUND($AH12,IF($E12="",3,$E12))&lt;=ROUND($F12+$O12,IF($E12="",3,$E12))),1,0))</f>
        <v>1</v>
      </c>
      <c r="AK12" s="64">
        <f t="shared" ref="AK12:AK23" si="19">IF(OR($G12="",$AI12=""),"",IF(AND(ROUND($AI12,IF($E12="",3,$E12))&gt;=ROUND($G12-$S12,IF($E12="",3,$E12)),ROUND($AI12,IF($E12="",3,$E12))&lt;=ROUND($G12+$S12,IF($E12="",3,$E12))),1,0))</f>
        <v>1</v>
      </c>
      <c r="AL12" s="94">
        <v>45</v>
      </c>
      <c r="AM12" s="95">
        <v>165</v>
      </c>
      <c r="AN12" s="63">
        <f t="shared" ref="AN12:AN23" si="20">IF(OR($F12="",$AL12=""),"",IF(AND(ROUND($AL12,IF($E12="",3,$E12))&gt;=ROUND($F12-$O12,IF($E12="",3,$E12)),ROUND($AL12,IF($E12="",3,$E12))&lt;=ROUND($F12+$O12,IF($E12="",3,$E12))),1,0))</f>
        <v>1</v>
      </c>
      <c r="AO12" s="64">
        <f t="shared" ref="AO12:AO23" si="21">IF(OR($G12="",$AM12=""),"",IF(AND(ROUND($AM12,IF($E12="",3,$E12))&gt;=ROUND($G12-$S12,IF($E12="",3,$E12)),ROUND($AM12,IF($E12="",3,$E12))&lt;=ROUND($G12+$S12,IF($E12="",3,$E12))),1,0))</f>
        <v>1</v>
      </c>
      <c r="AQ12" s="306"/>
      <c r="AR12" s="306"/>
      <c r="AS12" s="306"/>
      <c r="AT12" s="306"/>
      <c r="AU12" s="306"/>
      <c r="AV12" s="306"/>
    </row>
    <row r="13" spans="2:48" ht="25.05" customHeight="1" x14ac:dyDescent="0.3">
      <c r="B13" s="65" t="s">
        <v>3</v>
      </c>
      <c r="C13" s="66" t="s">
        <v>146</v>
      </c>
      <c r="D13" s="66">
        <v>533</v>
      </c>
      <c r="E13" s="67">
        <v>2</v>
      </c>
      <c r="F13" s="67">
        <v>2.19</v>
      </c>
      <c r="G13" s="67">
        <v>2.57</v>
      </c>
      <c r="H13" s="59">
        <f t="shared" si="0"/>
        <v>4.0834444530282989E-2</v>
      </c>
      <c r="I13" s="60">
        <f t="shared" si="1"/>
        <v>1.9579183979492862E-2</v>
      </c>
      <c r="J13" s="61">
        <f t="shared" si="2"/>
        <v>2.3724038442052819</v>
      </c>
      <c r="K13" s="61">
        <f t="shared" si="3"/>
        <v>4.6449731339351333E-2</v>
      </c>
      <c r="L13" s="62">
        <f t="shared" si="4"/>
        <v>1.5663347183594287E-2</v>
      </c>
      <c r="M13" s="62">
        <f t="shared" si="5"/>
        <v>9.2899462678702662E-3</v>
      </c>
      <c r="N13" s="61">
        <f t="shared" si="6"/>
        <v>4.3592676599941753E-2</v>
      </c>
      <c r="O13" s="61">
        <f t="shared" si="7"/>
        <v>7.1703572213936737E-2</v>
      </c>
      <c r="P13" s="378" t="str">
        <f t="shared" si="8"/>
        <v>2,12 to 2,26</v>
      </c>
      <c r="Q13" s="379"/>
      <c r="R13" s="61">
        <f t="shared" si="9"/>
        <v>4.9544748529707583E-2</v>
      </c>
      <c r="S13" s="61">
        <f t="shared" si="10"/>
        <v>8.149385931548811E-2</v>
      </c>
      <c r="T13" s="378" t="str">
        <f t="shared" si="11"/>
        <v>2,49 to 2,65</v>
      </c>
      <c r="U13" s="379"/>
      <c r="V13" s="96">
        <v>2.19</v>
      </c>
      <c r="W13" s="97">
        <v>2.5499999999999998</v>
      </c>
      <c r="X13" s="68">
        <f t="shared" si="12"/>
        <v>1</v>
      </c>
      <c r="Y13" s="69">
        <f t="shared" si="13"/>
        <v>1</v>
      </c>
      <c r="Z13" s="96">
        <v>2.21</v>
      </c>
      <c r="AA13" s="97">
        <v>2.5099999999999998</v>
      </c>
      <c r="AB13" s="68">
        <f t="shared" si="14"/>
        <v>1</v>
      </c>
      <c r="AC13" s="69">
        <f t="shared" si="15"/>
        <v>1</v>
      </c>
      <c r="AD13" s="96">
        <v>2.19</v>
      </c>
      <c r="AE13" s="97">
        <v>2.5499999999999998</v>
      </c>
      <c r="AF13" s="68">
        <f t="shared" si="16"/>
        <v>1</v>
      </c>
      <c r="AG13" s="69">
        <f t="shared" si="17"/>
        <v>1</v>
      </c>
      <c r="AH13" s="96">
        <v>2.19</v>
      </c>
      <c r="AI13" s="97">
        <v>2.54</v>
      </c>
      <c r="AJ13" s="68">
        <f t="shared" si="18"/>
        <v>1</v>
      </c>
      <c r="AK13" s="69">
        <f t="shared" si="19"/>
        <v>1</v>
      </c>
      <c r="AL13" s="96">
        <v>2.19</v>
      </c>
      <c r="AM13" s="97">
        <v>2.5499999999999998</v>
      </c>
      <c r="AN13" s="68">
        <f t="shared" si="20"/>
        <v>1</v>
      </c>
      <c r="AO13" s="69">
        <f t="shared" si="21"/>
        <v>1</v>
      </c>
      <c r="AQ13" s="306"/>
      <c r="AR13" s="306"/>
      <c r="AS13" s="306"/>
      <c r="AT13" s="306"/>
      <c r="AU13" s="306"/>
      <c r="AV13" s="306"/>
    </row>
    <row r="14" spans="2:48" ht="25.05" customHeight="1" x14ac:dyDescent="0.3">
      <c r="B14" s="70" t="s">
        <v>4</v>
      </c>
      <c r="C14" s="71" t="s">
        <v>147</v>
      </c>
      <c r="D14" s="71">
        <v>533</v>
      </c>
      <c r="E14" s="72">
        <v>0</v>
      </c>
      <c r="F14" s="72">
        <v>138</v>
      </c>
      <c r="G14" s="72">
        <v>257</v>
      </c>
      <c r="H14" s="59">
        <f t="shared" si="0"/>
        <v>0.15963130010524518</v>
      </c>
      <c r="I14" s="60">
        <f t="shared" si="1"/>
        <v>3.9639790628262048E-2</v>
      </c>
      <c r="J14" s="61">
        <f t="shared" si="2"/>
        <v>188.3241885685427</v>
      </c>
      <c r="K14" s="61">
        <f t="shared" si="3"/>
        <v>7.4651314050943736</v>
      </c>
      <c r="L14" s="62">
        <f t="shared" si="4"/>
        <v>3.1711832502609644E-2</v>
      </c>
      <c r="M14" s="62">
        <f t="shared" si="5"/>
        <v>1.4930262810188748</v>
      </c>
      <c r="N14" s="61">
        <f t="shared" si="6"/>
        <v>5.8692591663790061</v>
      </c>
      <c r="O14" s="61">
        <f t="shared" si="7"/>
        <v>9.6540722273366786</v>
      </c>
      <c r="P14" s="378" t="str">
        <f t="shared" si="8"/>
        <v>128 to 148</v>
      </c>
      <c r="Q14" s="379"/>
      <c r="R14" s="61">
        <f t="shared" si="9"/>
        <v>9.6429672341895536</v>
      </c>
      <c r="S14" s="61">
        <f t="shared" si="10"/>
        <v>15.861269629730888</v>
      </c>
      <c r="T14" s="378" t="str">
        <f t="shared" si="11"/>
        <v>241 to 273</v>
      </c>
      <c r="U14" s="379"/>
      <c r="V14" s="98">
        <v>134</v>
      </c>
      <c r="W14" s="97">
        <v>233</v>
      </c>
      <c r="X14" s="73">
        <f t="shared" si="12"/>
        <v>1</v>
      </c>
      <c r="Y14" s="69">
        <f t="shared" si="13"/>
        <v>0</v>
      </c>
      <c r="Z14" s="98">
        <v>138</v>
      </c>
      <c r="AA14" s="97">
        <v>233</v>
      </c>
      <c r="AB14" s="73">
        <f t="shared" si="14"/>
        <v>1</v>
      </c>
      <c r="AC14" s="69">
        <f t="shared" si="15"/>
        <v>0</v>
      </c>
      <c r="AD14" s="98">
        <v>140</v>
      </c>
      <c r="AE14" s="97">
        <v>241</v>
      </c>
      <c r="AF14" s="73">
        <f t="shared" si="16"/>
        <v>1</v>
      </c>
      <c r="AG14" s="69">
        <f t="shared" si="17"/>
        <v>1</v>
      </c>
      <c r="AH14" s="98">
        <v>140</v>
      </c>
      <c r="AI14" s="97">
        <v>251</v>
      </c>
      <c r="AJ14" s="73">
        <f t="shared" si="18"/>
        <v>1</v>
      </c>
      <c r="AK14" s="69">
        <f t="shared" si="19"/>
        <v>1</v>
      </c>
      <c r="AL14" s="98">
        <v>139</v>
      </c>
      <c r="AM14" s="97">
        <v>247</v>
      </c>
      <c r="AN14" s="73">
        <f t="shared" si="20"/>
        <v>1</v>
      </c>
      <c r="AO14" s="69">
        <f t="shared" si="21"/>
        <v>1</v>
      </c>
      <c r="AQ14" s="306"/>
      <c r="AR14" s="306"/>
      <c r="AS14" s="306"/>
      <c r="AT14" s="306"/>
      <c r="AU14" s="306"/>
      <c r="AV14" s="306"/>
    </row>
    <row r="15" spans="2:48" ht="25.05" customHeight="1" x14ac:dyDescent="0.3">
      <c r="B15" s="65" t="s">
        <v>5</v>
      </c>
      <c r="C15" s="66" t="s">
        <v>148</v>
      </c>
      <c r="D15" s="66">
        <v>533</v>
      </c>
      <c r="E15" s="67">
        <v>2</v>
      </c>
      <c r="F15" s="67">
        <v>0.61</v>
      </c>
      <c r="G15" s="67">
        <v>4.8600000000000003</v>
      </c>
      <c r="H15" s="59">
        <f t="shared" si="0"/>
        <v>0.56877997202723085</v>
      </c>
      <c r="I15" s="60">
        <f t="shared" si="1"/>
        <v>7.5251576197926301E-2</v>
      </c>
      <c r="J15" s="61">
        <f t="shared" si="2"/>
        <v>1.7218013822738092</v>
      </c>
      <c r="K15" s="61">
        <f t="shared" si="3"/>
        <v>0.12956826791587239</v>
      </c>
      <c r="L15" s="62">
        <f t="shared" si="4"/>
        <v>6.0201260958341045E-2</v>
      </c>
      <c r="M15" s="62">
        <f t="shared" si="5"/>
        <v>2.5913653583174479E-2</v>
      </c>
      <c r="N15" s="61">
        <f t="shared" si="6"/>
        <v>6.2636422767762517E-2</v>
      </c>
      <c r="O15" s="61">
        <f t="shared" si="7"/>
        <v>0.10302774716881991</v>
      </c>
      <c r="P15" s="378" t="str">
        <f t="shared" si="8"/>
        <v>0,51 to 0,71</v>
      </c>
      <c r="Q15" s="379"/>
      <c r="R15" s="61">
        <f t="shared" si="9"/>
        <v>0.31849178184071197</v>
      </c>
      <c r="S15" s="61">
        <f t="shared" si="10"/>
        <v>0.52387236251493186</v>
      </c>
      <c r="T15" s="378" t="str">
        <f t="shared" si="11"/>
        <v>4,34 to 5,38</v>
      </c>
      <c r="U15" s="379"/>
      <c r="V15" s="96">
        <v>0.6</v>
      </c>
      <c r="W15" s="99">
        <v>4.03</v>
      </c>
      <c r="X15" s="74">
        <f t="shared" si="12"/>
        <v>1</v>
      </c>
      <c r="Y15" s="69">
        <f t="shared" si="13"/>
        <v>0</v>
      </c>
      <c r="Z15" s="96">
        <v>0.52</v>
      </c>
      <c r="AA15" s="99">
        <v>3.22</v>
      </c>
      <c r="AB15" s="74">
        <f t="shared" si="14"/>
        <v>1</v>
      </c>
      <c r="AC15" s="69">
        <f t="shared" si="15"/>
        <v>0</v>
      </c>
      <c r="AD15" s="96">
        <v>0.59</v>
      </c>
      <c r="AE15" s="99">
        <v>4.63</v>
      </c>
      <c r="AF15" s="74">
        <f t="shared" si="16"/>
        <v>1</v>
      </c>
      <c r="AG15" s="69">
        <f t="shared" si="17"/>
        <v>1</v>
      </c>
      <c r="AH15" s="96">
        <v>0.55000000000000004</v>
      </c>
      <c r="AI15" s="99">
        <v>4.59</v>
      </c>
      <c r="AJ15" s="74">
        <f t="shared" si="18"/>
        <v>1</v>
      </c>
      <c r="AK15" s="69">
        <f t="shared" si="19"/>
        <v>1</v>
      </c>
      <c r="AL15" s="96">
        <v>0.54</v>
      </c>
      <c r="AM15" s="99">
        <v>4.76</v>
      </c>
      <c r="AN15" s="74">
        <f t="shared" si="20"/>
        <v>1</v>
      </c>
      <c r="AO15" s="69">
        <f t="shared" si="21"/>
        <v>1</v>
      </c>
      <c r="AQ15" s="306"/>
      <c r="AR15" s="306"/>
      <c r="AS15" s="306"/>
      <c r="AT15" s="306"/>
      <c r="AU15" s="306"/>
      <c r="AV15" s="306"/>
    </row>
    <row r="16" spans="2:48" ht="25.05" customHeight="1" x14ac:dyDescent="0.3">
      <c r="B16" s="75" t="s">
        <v>6</v>
      </c>
      <c r="C16" s="76" t="s">
        <v>149</v>
      </c>
      <c r="D16" s="76">
        <v>533</v>
      </c>
      <c r="E16" s="77">
        <v>1</v>
      </c>
      <c r="F16" s="77">
        <v>7.8</v>
      </c>
      <c r="G16" s="77">
        <v>14.1</v>
      </c>
      <c r="H16" s="59">
        <f t="shared" si="0"/>
        <v>0.15189885150099244</v>
      </c>
      <c r="I16" s="60">
        <f t="shared" si="1"/>
        <v>3.8652147611871766E-2</v>
      </c>
      <c r="J16" s="61">
        <f t="shared" si="2"/>
        <v>10.487134975769123</v>
      </c>
      <c r="K16" s="61">
        <f t="shared" si="3"/>
        <v>0.40535028910905141</v>
      </c>
      <c r="L16" s="62">
        <f t="shared" si="4"/>
        <v>3.0921718089497417E-2</v>
      </c>
      <c r="M16" s="62">
        <f t="shared" si="5"/>
        <v>8.1070057821810287E-2</v>
      </c>
      <c r="N16" s="61">
        <f t="shared" si="6"/>
        <v>0.32225945891989016</v>
      </c>
      <c r="O16" s="61">
        <f t="shared" si="7"/>
        <v>0.53006963982380007</v>
      </c>
      <c r="P16" s="378" t="str">
        <f t="shared" si="8"/>
        <v>7,3 to 8,3</v>
      </c>
      <c r="Q16" s="379"/>
      <c r="R16" s="61">
        <f t="shared" si="9"/>
        <v>0.5170662828837238</v>
      </c>
      <c r="S16" s="61">
        <f t="shared" si="10"/>
        <v>0.85049835077560865</v>
      </c>
      <c r="T16" s="378" t="str">
        <f t="shared" si="11"/>
        <v>13,2 to 15</v>
      </c>
      <c r="U16" s="379"/>
      <c r="V16" s="96">
        <v>6.76</v>
      </c>
      <c r="W16" s="100">
        <v>13.9</v>
      </c>
      <c r="X16" s="68">
        <f t="shared" si="12"/>
        <v>0</v>
      </c>
      <c r="Y16" s="78">
        <f t="shared" si="13"/>
        <v>1</v>
      </c>
      <c r="Z16" s="96">
        <v>7.92</v>
      </c>
      <c r="AA16" s="100">
        <v>13.3</v>
      </c>
      <c r="AB16" s="68">
        <f t="shared" si="14"/>
        <v>1</v>
      </c>
      <c r="AC16" s="78">
        <f t="shared" si="15"/>
        <v>1</v>
      </c>
      <c r="AD16" s="96">
        <v>7.54</v>
      </c>
      <c r="AE16" s="100">
        <v>13.8</v>
      </c>
      <c r="AF16" s="68">
        <f t="shared" si="16"/>
        <v>1</v>
      </c>
      <c r="AG16" s="78">
        <f t="shared" si="17"/>
        <v>1</v>
      </c>
      <c r="AH16" s="96">
        <v>7.9</v>
      </c>
      <c r="AI16" s="100">
        <v>14.1</v>
      </c>
      <c r="AJ16" s="68">
        <f t="shared" si="18"/>
        <v>1</v>
      </c>
      <c r="AK16" s="78">
        <f t="shared" si="19"/>
        <v>1</v>
      </c>
      <c r="AL16" s="96">
        <v>7.5</v>
      </c>
      <c r="AM16" s="100">
        <v>13.7</v>
      </c>
      <c r="AN16" s="68">
        <f t="shared" si="20"/>
        <v>1</v>
      </c>
      <c r="AO16" s="78">
        <f t="shared" si="21"/>
        <v>1</v>
      </c>
      <c r="AQ16" s="306"/>
      <c r="AR16" s="306"/>
      <c r="AS16" s="306"/>
      <c r="AT16" s="306"/>
      <c r="AU16" s="306"/>
      <c r="AV16" s="306"/>
    </row>
    <row r="17" spans="1:52" ht="25.05" customHeight="1" x14ac:dyDescent="0.3">
      <c r="B17" s="70" t="s">
        <v>7</v>
      </c>
      <c r="C17" s="71" t="s">
        <v>145</v>
      </c>
      <c r="D17" s="71">
        <v>874</v>
      </c>
      <c r="E17" s="72">
        <v>1</v>
      </c>
      <c r="F17" s="72">
        <v>6.6</v>
      </c>
      <c r="G17" s="72">
        <v>34.5</v>
      </c>
      <c r="H17" s="59">
        <f t="shared" si="0"/>
        <v>0.44140182817938145</v>
      </c>
      <c r="I17" s="60">
        <f t="shared" si="1"/>
        <v>6.6249666276848626E-2</v>
      </c>
      <c r="J17" s="61">
        <f t="shared" si="2"/>
        <v>15.089731607951148</v>
      </c>
      <c r="K17" s="61">
        <f t="shared" si="3"/>
        <v>0.99968968323397789</v>
      </c>
      <c r="L17" s="62">
        <f t="shared" si="4"/>
        <v>5.2999733021478895E-2</v>
      </c>
      <c r="M17" s="62">
        <f t="shared" si="5"/>
        <v>0.1999379366467956</v>
      </c>
      <c r="N17" s="61">
        <f t="shared" si="6"/>
        <v>0.54973617458855628</v>
      </c>
      <c r="O17" s="61">
        <f t="shared" si="7"/>
        <v>0.90423554063841416</v>
      </c>
      <c r="P17" s="378" t="str">
        <f t="shared" si="8"/>
        <v>5,7 to 7,5</v>
      </c>
      <c r="Q17" s="379"/>
      <c r="R17" s="61">
        <f t="shared" si="9"/>
        <v>2.0284287258878173</v>
      </c>
      <c r="S17" s="61">
        <f t="shared" si="10"/>
        <v>3.3364683467891285</v>
      </c>
      <c r="T17" s="378" t="str">
        <f t="shared" si="11"/>
        <v>31,2 to 37,8</v>
      </c>
      <c r="U17" s="379"/>
      <c r="V17" s="96">
        <v>5.7</v>
      </c>
      <c r="W17" s="99">
        <v>35.5</v>
      </c>
      <c r="X17" s="73">
        <f t="shared" si="12"/>
        <v>1</v>
      </c>
      <c r="Y17" s="79">
        <f t="shared" si="13"/>
        <v>1</v>
      </c>
      <c r="Z17" s="96">
        <v>8.8699999999999992</v>
      </c>
      <c r="AA17" s="99">
        <v>34.700000000000003</v>
      </c>
      <c r="AB17" s="73">
        <f t="shared" si="14"/>
        <v>0</v>
      </c>
      <c r="AC17" s="79">
        <f t="shared" si="15"/>
        <v>1</v>
      </c>
      <c r="AD17" s="96">
        <v>9.94</v>
      </c>
      <c r="AE17" s="99">
        <v>34.200000000000003</v>
      </c>
      <c r="AF17" s="73">
        <f t="shared" si="16"/>
        <v>0</v>
      </c>
      <c r="AG17" s="79">
        <f t="shared" si="17"/>
        <v>1</v>
      </c>
      <c r="AH17" s="96">
        <v>5.9</v>
      </c>
      <c r="AI17" s="99">
        <v>35</v>
      </c>
      <c r="AJ17" s="73">
        <f t="shared" si="18"/>
        <v>1</v>
      </c>
      <c r="AK17" s="79">
        <f t="shared" si="19"/>
        <v>1</v>
      </c>
      <c r="AL17" s="96">
        <v>6.7</v>
      </c>
      <c r="AM17" s="99">
        <v>35.4</v>
      </c>
      <c r="AN17" s="73">
        <f t="shared" si="20"/>
        <v>1</v>
      </c>
      <c r="AO17" s="79">
        <f t="shared" si="21"/>
        <v>1</v>
      </c>
      <c r="AQ17" s="306"/>
      <c r="AR17" s="306"/>
      <c r="AS17" s="306"/>
      <c r="AT17" s="306"/>
      <c r="AU17" s="306"/>
      <c r="AV17" s="306"/>
      <c r="AW17" s="306"/>
      <c r="AX17" s="306"/>
      <c r="AY17" s="306"/>
      <c r="AZ17" s="306"/>
    </row>
    <row r="18" spans="1:52" ht="25.05" customHeight="1" x14ac:dyDescent="0.3">
      <c r="B18" s="65" t="s">
        <v>8</v>
      </c>
      <c r="C18" s="66" t="s">
        <v>145</v>
      </c>
      <c r="D18" s="66">
        <v>874</v>
      </c>
      <c r="E18" s="67">
        <v>2</v>
      </c>
      <c r="F18" s="67">
        <v>12.22</v>
      </c>
      <c r="G18" s="67">
        <v>51.71</v>
      </c>
      <c r="H18" s="59">
        <f t="shared" si="0"/>
        <v>0.38082263012276346</v>
      </c>
      <c r="I18" s="60">
        <f t="shared" si="1"/>
        <v>6.1507936896205796E-2</v>
      </c>
      <c r="J18" s="61">
        <f t="shared" si="2"/>
        <v>25.137545624026217</v>
      </c>
      <c r="K18" s="61">
        <f t="shared" si="3"/>
        <v>1.5461585699680986</v>
      </c>
      <c r="L18" s="62">
        <f t="shared" si="4"/>
        <v>4.9206349516964634E-2</v>
      </c>
      <c r="M18" s="62">
        <f t="shared" si="5"/>
        <v>0.30923171399361976</v>
      </c>
      <c r="N18" s="61">
        <f t="shared" si="6"/>
        <v>0.91053330509092767</v>
      </c>
      <c r="O18" s="61">
        <f t="shared" si="7"/>
        <v>1.497694009338923</v>
      </c>
      <c r="P18" s="378" t="str">
        <f t="shared" si="8"/>
        <v>10,72 to 13,72</v>
      </c>
      <c r="Q18" s="379"/>
      <c r="R18" s="61">
        <f t="shared" si="9"/>
        <v>2.8536920475158611</v>
      </c>
      <c r="S18" s="61">
        <f t="shared" si="10"/>
        <v>4.693905714559035</v>
      </c>
      <c r="T18" s="378" t="str">
        <f t="shared" si="11"/>
        <v>47,02 to 56,4</v>
      </c>
      <c r="U18" s="379"/>
      <c r="V18" s="98">
        <v>11.5</v>
      </c>
      <c r="W18" s="100">
        <v>47.7</v>
      </c>
      <c r="X18" s="74">
        <f t="shared" si="12"/>
        <v>1</v>
      </c>
      <c r="Y18" s="69">
        <f t="shared" si="13"/>
        <v>1</v>
      </c>
      <c r="Z18" s="98">
        <v>19.3</v>
      </c>
      <c r="AA18" s="100">
        <v>52.5</v>
      </c>
      <c r="AB18" s="74">
        <f t="shared" si="14"/>
        <v>0</v>
      </c>
      <c r="AC18" s="69">
        <f t="shared" si="15"/>
        <v>1</v>
      </c>
      <c r="AD18" s="98">
        <v>12.2</v>
      </c>
      <c r="AE18" s="100">
        <v>47.1</v>
      </c>
      <c r="AF18" s="74">
        <f t="shared" si="16"/>
        <v>1</v>
      </c>
      <c r="AG18" s="69">
        <f t="shared" si="17"/>
        <v>1</v>
      </c>
      <c r="AH18" s="98">
        <v>11.6</v>
      </c>
      <c r="AI18" s="100">
        <v>47.9</v>
      </c>
      <c r="AJ18" s="74">
        <f t="shared" si="18"/>
        <v>1</v>
      </c>
      <c r="AK18" s="69">
        <f t="shared" si="19"/>
        <v>1</v>
      </c>
      <c r="AL18" s="98">
        <v>12.27</v>
      </c>
      <c r="AM18" s="100">
        <v>50.02</v>
      </c>
      <c r="AN18" s="74">
        <f t="shared" si="20"/>
        <v>1</v>
      </c>
      <c r="AO18" s="69">
        <f t="shared" si="21"/>
        <v>1</v>
      </c>
      <c r="AQ18" s="453" t="s">
        <v>45</v>
      </c>
      <c r="AR18" s="453"/>
      <c r="AS18" s="453"/>
      <c r="AT18" s="453"/>
      <c r="AU18" s="453"/>
      <c r="AV18" s="453"/>
      <c r="AW18" s="306"/>
      <c r="AX18" s="306"/>
      <c r="AY18" s="306"/>
      <c r="AZ18" s="306"/>
    </row>
    <row r="19" spans="1:52" ht="25.05" customHeight="1" x14ac:dyDescent="0.3">
      <c r="B19" s="70" t="s">
        <v>9</v>
      </c>
      <c r="C19" s="71" t="s">
        <v>181</v>
      </c>
      <c r="D19" s="71">
        <v>992</v>
      </c>
      <c r="E19" s="72">
        <v>2</v>
      </c>
      <c r="F19" s="72">
        <v>3.97</v>
      </c>
      <c r="G19" s="72">
        <v>6.28</v>
      </c>
      <c r="H19" s="59">
        <f t="shared" si="0"/>
        <v>0.11739223965831708</v>
      </c>
      <c r="I19" s="60">
        <f t="shared" si="1"/>
        <v>3.3895757796266641E-2</v>
      </c>
      <c r="J19" s="61">
        <f t="shared" si="2"/>
        <v>4.9931553150287646</v>
      </c>
      <c r="K19" s="61">
        <f t="shared" si="3"/>
        <v>0.16924678319735648</v>
      </c>
      <c r="L19" s="62">
        <f t="shared" si="4"/>
        <v>2.7116606237013313E-2</v>
      </c>
      <c r="M19" s="62">
        <f t="shared" si="5"/>
        <v>3.3849356639471299E-2</v>
      </c>
      <c r="N19" s="61">
        <f t="shared" si="6"/>
        <v>0.14150228340041415</v>
      </c>
      <c r="O19" s="61">
        <f t="shared" si="7"/>
        <v>0.23275054407308624</v>
      </c>
      <c r="P19" s="378" t="str">
        <f t="shared" si="8"/>
        <v>3,74 to 4,2</v>
      </c>
      <c r="Q19" s="379"/>
      <c r="R19" s="61">
        <f t="shared" si="9"/>
        <v>0.20414164380791491</v>
      </c>
      <c r="S19" s="61">
        <f t="shared" si="10"/>
        <v>0.33578312322928427</v>
      </c>
      <c r="T19" s="378" t="str">
        <f t="shared" si="11"/>
        <v>5,94 to 6,62</v>
      </c>
      <c r="U19" s="379"/>
      <c r="V19" s="96">
        <v>3.77</v>
      </c>
      <c r="W19" s="97">
        <v>6.19</v>
      </c>
      <c r="X19" s="74">
        <f t="shared" si="12"/>
        <v>1</v>
      </c>
      <c r="Y19" s="69">
        <f t="shared" si="13"/>
        <v>1</v>
      </c>
      <c r="Z19" s="96">
        <v>4.05</v>
      </c>
      <c r="AA19" s="97">
        <v>6.32</v>
      </c>
      <c r="AB19" s="74">
        <f t="shared" si="14"/>
        <v>1</v>
      </c>
      <c r="AC19" s="69">
        <f t="shared" si="15"/>
        <v>1</v>
      </c>
      <c r="AD19" s="96">
        <v>3.95</v>
      </c>
      <c r="AE19" s="97">
        <v>6.2</v>
      </c>
      <c r="AF19" s="74">
        <f t="shared" si="16"/>
        <v>1</v>
      </c>
      <c r="AG19" s="69">
        <f t="shared" si="17"/>
        <v>1</v>
      </c>
      <c r="AH19" s="96">
        <v>3.77</v>
      </c>
      <c r="AI19" s="97">
        <v>6.24</v>
      </c>
      <c r="AJ19" s="74">
        <f t="shared" si="18"/>
        <v>1</v>
      </c>
      <c r="AK19" s="69">
        <f t="shared" si="19"/>
        <v>1</v>
      </c>
      <c r="AL19" s="96">
        <v>3.97</v>
      </c>
      <c r="AM19" s="97">
        <v>6.25</v>
      </c>
      <c r="AN19" s="74">
        <f t="shared" si="20"/>
        <v>1</v>
      </c>
      <c r="AO19" s="69">
        <f t="shared" si="21"/>
        <v>1</v>
      </c>
      <c r="AQ19" s="375" t="s">
        <v>46</v>
      </c>
      <c r="AR19" s="375" t="s">
        <v>47</v>
      </c>
      <c r="AS19" s="375" t="s">
        <v>48</v>
      </c>
      <c r="AT19" s="375" t="s">
        <v>49</v>
      </c>
      <c r="AU19" s="375" t="s">
        <v>50</v>
      </c>
      <c r="AV19" s="375" t="s">
        <v>51</v>
      </c>
      <c r="AW19" s="306"/>
      <c r="AX19" s="306"/>
      <c r="AY19" s="306"/>
      <c r="AZ19" s="306"/>
    </row>
    <row r="20" spans="1:52" ht="25.05" customHeight="1" x14ac:dyDescent="0.3">
      <c r="B20" s="65" t="s">
        <v>10</v>
      </c>
      <c r="C20" s="66" t="s">
        <v>150</v>
      </c>
      <c r="D20" s="66">
        <v>992</v>
      </c>
      <c r="E20" s="67">
        <v>2</v>
      </c>
      <c r="F20" s="67">
        <v>10.6</v>
      </c>
      <c r="G20" s="67">
        <v>17.34</v>
      </c>
      <c r="H20" s="59">
        <f t="shared" si="0"/>
        <v>0.12604792466935802</v>
      </c>
      <c r="I20" s="60">
        <f t="shared" si="1"/>
        <v>3.5149384727098429E-2</v>
      </c>
      <c r="J20" s="61">
        <f t="shared" si="2"/>
        <v>13.557433385416287</v>
      </c>
      <c r="K20" s="61">
        <f t="shared" si="3"/>
        <v>0.47653544197600556</v>
      </c>
      <c r="L20" s="62">
        <f t="shared" si="4"/>
        <v>2.8119507781678741E-2</v>
      </c>
      <c r="M20" s="62">
        <f t="shared" si="5"/>
        <v>9.530708839520112E-2</v>
      </c>
      <c r="N20" s="61">
        <f t="shared" si="6"/>
        <v>0.39337387088099579</v>
      </c>
      <c r="O20" s="61">
        <f t="shared" si="7"/>
        <v>0.64704243826654573</v>
      </c>
      <c r="P20" s="378" t="str">
        <f t="shared" si="8"/>
        <v>9,95 to 11,25</v>
      </c>
      <c r="Q20" s="379"/>
      <c r="R20" s="61">
        <f t="shared" si="9"/>
        <v>0.58289935332951048</v>
      </c>
      <c r="S20" s="61">
        <f t="shared" si="10"/>
        <v>0.95878411547171261</v>
      </c>
      <c r="T20" s="378" t="str">
        <f t="shared" si="11"/>
        <v>16,38 to 18,3</v>
      </c>
      <c r="U20" s="379"/>
      <c r="V20" s="96">
        <v>10.8</v>
      </c>
      <c r="W20" s="99">
        <v>18.899999999999999</v>
      </c>
      <c r="X20" s="74">
        <f t="shared" si="12"/>
        <v>1</v>
      </c>
      <c r="Y20" s="69">
        <f t="shared" si="13"/>
        <v>0</v>
      </c>
      <c r="Z20" s="96">
        <v>11</v>
      </c>
      <c r="AA20" s="99">
        <v>17.2</v>
      </c>
      <c r="AB20" s="74">
        <f t="shared" si="14"/>
        <v>1</v>
      </c>
      <c r="AC20" s="69">
        <f t="shared" si="15"/>
        <v>1</v>
      </c>
      <c r="AD20" s="96">
        <v>11.3</v>
      </c>
      <c r="AE20" s="99">
        <v>17.3</v>
      </c>
      <c r="AF20" s="74">
        <f t="shared" si="16"/>
        <v>0</v>
      </c>
      <c r="AG20" s="69">
        <f t="shared" si="17"/>
        <v>1</v>
      </c>
      <c r="AH20" s="96">
        <v>10.9</v>
      </c>
      <c r="AI20" s="99">
        <v>17.5</v>
      </c>
      <c r="AJ20" s="74">
        <f t="shared" si="18"/>
        <v>1</v>
      </c>
      <c r="AK20" s="69">
        <f t="shared" si="19"/>
        <v>1</v>
      </c>
      <c r="AL20" s="96">
        <v>10.77</v>
      </c>
      <c r="AM20" s="99">
        <v>17.3</v>
      </c>
      <c r="AN20" s="74">
        <f t="shared" si="20"/>
        <v>1</v>
      </c>
      <c r="AO20" s="69">
        <f t="shared" si="21"/>
        <v>1</v>
      </c>
      <c r="AQ20" s="306" t="s">
        <v>28</v>
      </c>
      <c r="AR20" s="376">
        <f>IFERROR((X24+Y24)/COUNT(X12:Y23),"")</f>
        <v>0.66666666666666663</v>
      </c>
      <c r="AS20" s="306">
        <f>IFERROR(IF(AR20="","",_xlfn.RANK.EQ(AR20,$AR$20:$AR$24)),"")</f>
        <v>5</v>
      </c>
      <c r="AT20" s="306" t="str">
        <f>X24&amp;"/"&amp;COUNT(X12:X23)</f>
        <v>7/12</v>
      </c>
      <c r="AU20" s="306" t="str">
        <f>Y24&amp;"/"&amp;COUNT(Y12:Y23)</f>
        <v>9/12</v>
      </c>
      <c r="AV20" s="306" t="str">
        <f>(X24+Y24)&amp;"/"&amp;COUNT(X12:Y23)</f>
        <v>16/24</v>
      </c>
      <c r="AW20" s="306"/>
      <c r="AX20" s="306"/>
      <c r="AY20" s="306"/>
      <c r="AZ20" s="306"/>
    </row>
    <row r="21" spans="1:52" ht="25.05" customHeight="1" x14ac:dyDescent="0.3">
      <c r="B21" s="75" t="s">
        <v>11</v>
      </c>
      <c r="C21" s="76" t="s">
        <v>182</v>
      </c>
      <c r="D21" s="76">
        <v>992</v>
      </c>
      <c r="E21" s="77">
        <v>2</v>
      </c>
      <c r="F21" s="77">
        <v>3.16</v>
      </c>
      <c r="G21" s="77">
        <v>7.73</v>
      </c>
      <c r="H21" s="59">
        <f t="shared" si="0"/>
        <v>0.23120147639324456</v>
      </c>
      <c r="I21" s="60">
        <f t="shared" si="1"/>
        <v>4.7822743166117586E-2</v>
      </c>
      <c r="J21" s="61">
        <f t="shared" si="2"/>
        <v>4.9423476203116259</v>
      </c>
      <c r="K21" s="61">
        <f t="shared" si="3"/>
        <v>0.23635662088383533</v>
      </c>
      <c r="L21" s="62">
        <f t="shared" si="4"/>
        <v>3.8258194532894065E-2</v>
      </c>
      <c r="M21" s="62">
        <f t="shared" si="5"/>
        <v>4.727132417676707E-2</v>
      </c>
      <c r="N21" s="61">
        <f t="shared" si="6"/>
        <v>0.16816721890071232</v>
      </c>
      <c r="O21" s="61">
        <f t="shared" si="7"/>
        <v>0.27661045994317873</v>
      </c>
      <c r="P21" s="378" t="str">
        <f t="shared" si="8"/>
        <v>2,88 to 3,44</v>
      </c>
      <c r="Q21" s="379"/>
      <c r="R21" s="61">
        <f t="shared" si="9"/>
        <v>0.34300716791603819</v>
      </c>
      <c r="S21" s="61">
        <f t="shared" si="10"/>
        <v>0.56419658421704788</v>
      </c>
      <c r="T21" s="378" t="str">
        <f t="shared" si="11"/>
        <v>7,17 to 8,29</v>
      </c>
      <c r="U21" s="379"/>
      <c r="V21" s="98">
        <v>3.65</v>
      </c>
      <c r="W21" s="99">
        <v>7.77</v>
      </c>
      <c r="X21" s="68">
        <f t="shared" si="12"/>
        <v>0</v>
      </c>
      <c r="Y21" s="78">
        <f t="shared" si="13"/>
        <v>1</v>
      </c>
      <c r="Z21" s="98">
        <v>3.18</v>
      </c>
      <c r="AA21" s="99">
        <v>8.09</v>
      </c>
      <c r="AB21" s="68">
        <f t="shared" si="14"/>
        <v>1</v>
      </c>
      <c r="AC21" s="78">
        <f t="shared" si="15"/>
        <v>1</v>
      </c>
      <c r="AD21" s="98">
        <v>3.34</v>
      </c>
      <c r="AE21" s="99">
        <v>8.0500000000000007</v>
      </c>
      <c r="AF21" s="68">
        <f t="shared" si="16"/>
        <v>1</v>
      </c>
      <c r="AG21" s="78">
        <f t="shared" si="17"/>
        <v>1</v>
      </c>
      <c r="AH21" s="98">
        <v>3.32</v>
      </c>
      <c r="AI21" s="99">
        <v>8.17</v>
      </c>
      <c r="AJ21" s="68">
        <f t="shared" si="18"/>
        <v>1</v>
      </c>
      <c r="AK21" s="78">
        <f t="shared" si="19"/>
        <v>1</v>
      </c>
      <c r="AL21" s="98">
        <v>3.25</v>
      </c>
      <c r="AM21" s="99">
        <v>8.15</v>
      </c>
      <c r="AN21" s="68">
        <f t="shared" si="20"/>
        <v>1</v>
      </c>
      <c r="AO21" s="78">
        <f t="shared" si="21"/>
        <v>1</v>
      </c>
      <c r="AQ21" s="306" t="s">
        <v>32</v>
      </c>
      <c r="AR21" s="376">
        <f>IFERROR((AB24+AC24)/COUNT(AB12:AC23),"")</f>
        <v>0.75</v>
      </c>
      <c r="AS21" s="306">
        <f>IFERROR(IF(AR21="","",_xlfn.RANK.EQ(AR21,$AR$20:$AR$24)),"")</f>
        <v>4</v>
      </c>
      <c r="AT21" s="306" t="str">
        <f>AB24&amp;"/"&amp;COUNT(AB12:AB23)</f>
        <v>9/12</v>
      </c>
      <c r="AU21" s="306" t="str">
        <f>AC24&amp;"/"&amp;COUNT(AC12:AC23)</f>
        <v>9/12</v>
      </c>
      <c r="AV21" s="306" t="str">
        <f>(AB24+AC24)&amp;"/"&amp;COUNT(AB12:AC23)</f>
        <v>18/24</v>
      </c>
      <c r="AW21" s="306"/>
      <c r="AX21" s="306"/>
      <c r="AY21" s="306"/>
      <c r="AZ21" s="306"/>
    </row>
    <row r="22" spans="1:52" ht="25.05" customHeight="1" x14ac:dyDescent="0.3">
      <c r="B22" s="75" t="s">
        <v>12</v>
      </c>
      <c r="C22" s="76" t="s">
        <v>152</v>
      </c>
      <c r="D22" s="76">
        <v>992</v>
      </c>
      <c r="E22" s="77">
        <v>2</v>
      </c>
      <c r="F22" s="77">
        <v>1.31</v>
      </c>
      <c r="G22" s="77">
        <v>3.38</v>
      </c>
      <c r="H22" s="59">
        <f t="shared" si="0"/>
        <v>0.24537579573224647</v>
      </c>
      <c r="I22" s="60">
        <f t="shared" si="1"/>
        <v>4.9282430513545743E-2</v>
      </c>
      <c r="J22" s="61">
        <f t="shared" si="2"/>
        <v>2.1042338273110239</v>
      </c>
      <c r="K22" s="61">
        <f t="shared" si="3"/>
        <v>0.10370175737870795</v>
      </c>
      <c r="L22" s="62">
        <f t="shared" si="4"/>
        <v>3.9425944410836591E-2</v>
      </c>
      <c r="M22" s="62">
        <f t="shared" si="5"/>
        <v>2.0740351475741589E-2</v>
      </c>
      <c r="N22" s="61">
        <f t="shared" si="6"/>
        <v>7.2388338653937526E-2</v>
      </c>
      <c r="O22" s="61">
        <f t="shared" si="7"/>
        <v>0.11906822138392054</v>
      </c>
      <c r="P22" s="378" t="str">
        <f t="shared" si="8"/>
        <v>1,19 to 1,43</v>
      </c>
      <c r="Q22" s="379"/>
      <c r="R22" s="61">
        <f t="shared" si="9"/>
        <v>0.15400004358436925</v>
      </c>
      <c r="S22" s="61">
        <f t="shared" si="10"/>
        <v>0.25330753024043445</v>
      </c>
      <c r="T22" s="378" t="str">
        <f t="shared" si="11"/>
        <v>3,13 to 3,63</v>
      </c>
      <c r="U22" s="379"/>
      <c r="V22" s="96">
        <v>0.96</v>
      </c>
      <c r="W22" s="99">
        <v>3.27</v>
      </c>
      <c r="X22" s="73">
        <f t="shared" si="12"/>
        <v>0</v>
      </c>
      <c r="Y22" s="78">
        <f t="shared" si="13"/>
        <v>1</v>
      </c>
      <c r="Z22" s="96">
        <v>1.31</v>
      </c>
      <c r="AA22" s="99">
        <v>3.58</v>
      </c>
      <c r="AB22" s="73">
        <f t="shared" si="14"/>
        <v>1</v>
      </c>
      <c r="AC22" s="78">
        <f t="shared" si="15"/>
        <v>1</v>
      </c>
      <c r="AD22" s="96">
        <v>1.36</v>
      </c>
      <c r="AE22" s="99">
        <v>3.41</v>
      </c>
      <c r="AF22" s="73">
        <f t="shared" si="16"/>
        <v>1</v>
      </c>
      <c r="AG22" s="78">
        <f t="shared" si="17"/>
        <v>1</v>
      </c>
      <c r="AH22" s="96">
        <v>1.36</v>
      </c>
      <c r="AI22" s="99">
        <v>3.61</v>
      </c>
      <c r="AJ22" s="73">
        <f t="shared" si="18"/>
        <v>1</v>
      </c>
      <c r="AK22" s="78">
        <f t="shared" si="19"/>
        <v>1</v>
      </c>
      <c r="AL22" s="96">
        <v>1.23</v>
      </c>
      <c r="AM22" s="99">
        <v>3.19</v>
      </c>
      <c r="AN22" s="73">
        <f t="shared" si="20"/>
        <v>1</v>
      </c>
      <c r="AO22" s="78">
        <f t="shared" si="21"/>
        <v>1</v>
      </c>
      <c r="AQ22" s="306" t="s">
        <v>31</v>
      </c>
      <c r="AR22" s="376">
        <f>IFERROR((AF24+AG24)/COUNT(AF12:AG23),"")</f>
        <v>0.875</v>
      </c>
      <c r="AS22" s="306">
        <f>IFERROR(IF(AR22="","",_xlfn.RANK.EQ(AR22,$AR$20:$AR$24)),"")</f>
        <v>3</v>
      </c>
      <c r="AT22" s="306" t="str">
        <f>AF24&amp;"/"&amp;COUNT(AF12:AF23)</f>
        <v>10/12</v>
      </c>
      <c r="AU22" s="306" t="str">
        <f>AG24&amp;"/"&amp;COUNT(AG12:AG23)</f>
        <v>11/12</v>
      </c>
      <c r="AV22" s="306" t="str">
        <f>(AF24+AG24)&amp;"/"&amp;COUNT(AF12:AG23)</f>
        <v>21/24</v>
      </c>
      <c r="AW22" s="306"/>
      <c r="AX22" s="306"/>
      <c r="AY22" s="306"/>
      <c r="AZ22" s="306"/>
    </row>
    <row r="23" spans="1:52" ht="25.05" customHeight="1" thickBot="1" x14ac:dyDescent="0.35">
      <c r="B23" s="80" t="s">
        <v>13</v>
      </c>
      <c r="C23" s="76" t="s">
        <v>152</v>
      </c>
      <c r="D23" s="76">
        <v>992</v>
      </c>
      <c r="E23" s="77">
        <v>1</v>
      </c>
      <c r="F23" s="77">
        <v>140.19999999999999</v>
      </c>
      <c r="G23" s="77">
        <v>384</v>
      </c>
      <c r="H23" s="81">
        <f t="shared" si="0"/>
        <v>0.26133815995973847</v>
      </c>
      <c r="I23" s="82">
        <f t="shared" si="1"/>
        <v>5.0876139786715194E-2</v>
      </c>
      <c r="J23" s="83">
        <f t="shared" si="2"/>
        <v>232.02758456700798</v>
      </c>
      <c r="K23" s="83">
        <f t="shared" si="3"/>
        <v>11.804667826804979</v>
      </c>
      <c r="L23" s="84">
        <f t="shared" si="4"/>
        <v>4.0700911829372154E-2</v>
      </c>
      <c r="M23" s="84">
        <f t="shared" si="5"/>
        <v>2.360933565360996</v>
      </c>
      <c r="N23" s="83">
        <f t="shared" si="6"/>
        <v>8.0672014038389719</v>
      </c>
      <c r="O23" s="83">
        <f t="shared" si="7"/>
        <v>13.269365488452536</v>
      </c>
      <c r="P23" s="378" t="str">
        <f t="shared" si="8"/>
        <v>126,9 to 153,5</v>
      </c>
      <c r="Q23" s="379"/>
      <c r="R23" s="83">
        <f t="shared" si="9"/>
        <v>17.990083707839901</v>
      </c>
      <c r="S23" s="83">
        <f t="shared" si="10"/>
        <v>29.591054436001038</v>
      </c>
      <c r="T23" s="378" t="str">
        <f t="shared" si="11"/>
        <v>354,4 to 413,6</v>
      </c>
      <c r="U23" s="379"/>
      <c r="V23" s="101">
        <v>115</v>
      </c>
      <c r="W23" s="102">
        <v>383</v>
      </c>
      <c r="X23" s="85">
        <f t="shared" si="12"/>
        <v>0</v>
      </c>
      <c r="Y23" s="86">
        <f t="shared" si="13"/>
        <v>1</v>
      </c>
      <c r="Z23" s="101">
        <v>139</v>
      </c>
      <c r="AA23" s="102">
        <v>385</v>
      </c>
      <c r="AB23" s="85">
        <f t="shared" si="14"/>
        <v>1</v>
      </c>
      <c r="AC23" s="86">
        <f t="shared" si="15"/>
        <v>1</v>
      </c>
      <c r="AD23" s="101">
        <v>148</v>
      </c>
      <c r="AE23" s="102">
        <v>362</v>
      </c>
      <c r="AF23" s="85">
        <f t="shared" si="16"/>
        <v>1</v>
      </c>
      <c r="AG23" s="86">
        <f t="shared" si="17"/>
        <v>1</v>
      </c>
      <c r="AH23" s="101">
        <v>125</v>
      </c>
      <c r="AI23" s="102">
        <v>381</v>
      </c>
      <c r="AJ23" s="85">
        <f t="shared" si="18"/>
        <v>0</v>
      </c>
      <c r="AK23" s="86">
        <f t="shared" si="19"/>
        <v>1</v>
      </c>
      <c r="AL23" s="101">
        <v>132</v>
      </c>
      <c r="AM23" s="102">
        <v>374</v>
      </c>
      <c r="AN23" s="85">
        <f t="shared" si="20"/>
        <v>1</v>
      </c>
      <c r="AO23" s="86">
        <f t="shared" si="21"/>
        <v>1</v>
      </c>
      <c r="AQ23" s="306" t="s">
        <v>40</v>
      </c>
      <c r="AR23" s="376">
        <f>IFERROR((AJ24+AK24)/COUNT(AJ12:AK23),"")</f>
        <v>0.95833333333333337</v>
      </c>
      <c r="AS23" s="306">
        <f>IFERROR(IF(AR23="","",_xlfn.RANK.EQ(AR23,$AR$20:$AR$24)),"")</f>
        <v>2</v>
      </c>
      <c r="AT23" s="306" t="str">
        <f>AJ24&amp;"/"&amp;COUNT(AJ12:AJ23)</f>
        <v>11/12</v>
      </c>
      <c r="AU23" s="306" t="str">
        <f>AK24&amp;"/"&amp;COUNT(AK12:AK23)</f>
        <v>12/12</v>
      </c>
      <c r="AV23" s="306" t="str">
        <f>(AJ24+AK24)&amp;"/"&amp;COUNT(AJ12:AK23)</f>
        <v>23/24</v>
      </c>
      <c r="AW23" s="306"/>
      <c r="AX23" s="306"/>
      <c r="AY23" s="306"/>
      <c r="AZ23" s="306"/>
    </row>
    <row r="24" spans="1:52" ht="25.05" customHeight="1" thickTop="1" x14ac:dyDescent="0.3">
      <c r="B24" s="433"/>
      <c r="C24" s="434"/>
      <c r="D24" s="434"/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4"/>
      <c r="S24" s="434"/>
      <c r="T24" s="434"/>
      <c r="U24" s="435"/>
      <c r="V24" s="413" t="s">
        <v>249</v>
      </c>
      <c r="W24" s="414"/>
      <c r="X24" s="11">
        <f>SUM(X12:X23)</f>
        <v>7</v>
      </c>
      <c r="Y24" s="17">
        <f>SUM(Y12:Y23)</f>
        <v>9</v>
      </c>
      <c r="Z24" s="413" t="s">
        <v>53</v>
      </c>
      <c r="AA24" s="414"/>
      <c r="AB24" s="11">
        <f>SUM(AB12:AB23)</f>
        <v>9</v>
      </c>
      <c r="AC24" s="17">
        <f>SUM(AC12:AC23)</f>
        <v>9</v>
      </c>
      <c r="AD24" s="413" t="s">
        <v>56</v>
      </c>
      <c r="AE24" s="414"/>
      <c r="AF24" s="11">
        <f>SUM(AF12:AF23)</f>
        <v>10</v>
      </c>
      <c r="AG24" s="17">
        <f>SUM(AG12:AG23)</f>
        <v>11</v>
      </c>
      <c r="AH24" s="413" t="s">
        <v>59</v>
      </c>
      <c r="AI24" s="414"/>
      <c r="AJ24" s="11">
        <f>SUM(AJ12:AJ23)</f>
        <v>11</v>
      </c>
      <c r="AK24" s="17">
        <f>SUM(AK12:AK23)</f>
        <v>12</v>
      </c>
      <c r="AL24" s="413" t="s">
        <v>62</v>
      </c>
      <c r="AM24" s="414"/>
      <c r="AN24" s="11">
        <f>SUM(AN12:AN23)</f>
        <v>12</v>
      </c>
      <c r="AO24" s="17">
        <f>SUM(AO12:AO23)</f>
        <v>12</v>
      </c>
      <c r="AQ24" s="306" t="s">
        <v>33</v>
      </c>
      <c r="AR24" s="376">
        <f>IFERROR((AN24+AO24)/COUNT(AN12:AO23),"")</f>
        <v>1</v>
      </c>
      <c r="AS24" s="306">
        <f>IFERROR(IF(AR24="","",_xlfn.RANK.EQ(AR24,$AR$20:$AR$24)),"")</f>
        <v>1</v>
      </c>
      <c r="AT24" s="306" t="str">
        <f>AN24&amp;"/"&amp;COUNT(AN12:AN23)</f>
        <v>12/12</v>
      </c>
      <c r="AU24" s="306" t="str">
        <f>AO24&amp;"/"&amp;COUNT(AO12:AO23)</f>
        <v>12/12</v>
      </c>
      <c r="AV24" s="306" t="str">
        <f>(AN24+AO24)&amp;"/"&amp;COUNT(AN12:AO23)</f>
        <v>24/24</v>
      </c>
      <c r="AW24" s="306"/>
      <c r="AX24" s="306"/>
      <c r="AY24" s="306"/>
      <c r="AZ24" s="306"/>
    </row>
    <row r="25" spans="1:52" ht="25.05" customHeight="1" x14ac:dyDescent="0.3">
      <c r="A25" s="2"/>
      <c r="B25" s="436"/>
      <c r="C25" s="437"/>
      <c r="D25" s="437"/>
      <c r="E25" s="437"/>
      <c r="F25" s="437"/>
      <c r="G25" s="437"/>
      <c r="H25" s="437"/>
      <c r="I25" s="437"/>
      <c r="J25" s="437"/>
      <c r="K25" s="437"/>
      <c r="L25" s="437"/>
      <c r="M25" s="437"/>
      <c r="N25" s="437"/>
      <c r="O25" s="437"/>
      <c r="P25" s="437"/>
      <c r="Q25" s="437"/>
      <c r="R25" s="437"/>
      <c r="S25" s="437"/>
      <c r="T25" s="437"/>
      <c r="U25" s="438"/>
      <c r="V25" s="415" t="s">
        <v>250</v>
      </c>
      <c r="W25" s="416"/>
      <c r="X25" s="20">
        <f>IFERROR(X24/COUNT(X12:X23),"")</f>
        <v>0.58333333333333337</v>
      </c>
      <c r="Y25" s="21">
        <f>IFERROR(Y24/COUNT(Y12:Y23),"")</f>
        <v>0.75</v>
      </c>
      <c r="Z25" s="415" t="s">
        <v>54</v>
      </c>
      <c r="AA25" s="416"/>
      <c r="AB25" s="20">
        <f>IFERROR(AB24/COUNT(AB12:AB23),"")</f>
        <v>0.75</v>
      </c>
      <c r="AC25" s="21">
        <f>IFERROR(AC24/COUNT(AC12:AC23),"")</f>
        <v>0.75</v>
      </c>
      <c r="AD25" s="415" t="s">
        <v>57</v>
      </c>
      <c r="AE25" s="416"/>
      <c r="AF25" s="20">
        <f>IFERROR(AF24/COUNT(AF12:AF23),"")</f>
        <v>0.83333333333333337</v>
      </c>
      <c r="AG25" s="21">
        <f>IFERROR(AG24/COUNT(AG12:AG23),"")</f>
        <v>0.91666666666666663</v>
      </c>
      <c r="AH25" s="415" t="s">
        <v>60</v>
      </c>
      <c r="AI25" s="416"/>
      <c r="AJ25" s="20">
        <f>IFERROR(AJ24/COUNT(AJ12:AJ23),"")</f>
        <v>0.91666666666666663</v>
      </c>
      <c r="AK25" s="21">
        <f>IFERROR(AK24/COUNT(AK12:AK23),"")</f>
        <v>1</v>
      </c>
      <c r="AL25" s="415" t="s">
        <v>63</v>
      </c>
      <c r="AM25" s="416"/>
      <c r="AN25" s="20">
        <f>IFERROR(AN24/COUNT(AN12:AN23),"")</f>
        <v>1</v>
      </c>
      <c r="AO25" s="21">
        <f>IFERROR(AO24/COUNT(AO12:AO23),"")</f>
        <v>1</v>
      </c>
      <c r="AQ25" s="306"/>
      <c r="AR25" s="306"/>
      <c r="AS25" s="306"/>
      <c r="AT25" s="306"/>
      <c r="AU25" s="306"/>
      <c r="AV25" s="306"/>
      <c r="AW25" s="306"/>
      <c r="AX25" s="306"/>
      <c r="AY25" s="306"/>
      <c r="AZ25" s="306"/>
    </row>
    <row r="26" spans="1:52" ht="25.05" customHeight="1" thickBot="1" x14ac:dyDescent="0.35">
      <c r="A26" s="2"/>
      <c r="B26" s="439"/>
      <c r="C26" s="440"/>
      <c r="D26" s="440"/>
      <c r="E26" s="440"/>
      <c r="F26" s="440"/>
      <c r="G26" s="440"/>
      <c r="H26" s="440"/>
      <c r="I26" s="440"/>
      <c r="J26" s="440"/>
      <c r="K26" s="440"/>
      <c r="L26" s="440"/>
      <c r="M26" s="440"/>
      <c r="N26" s="440"/>
      <c r="O26" s="440"/>
      <c r="P26" s="440"/>
      <c r="Q26" s="440"/>
      <c r="R26" s="440"/>
      <c r="S26" s="440"/>
      <c r="T26" s="440"/>
      <c r="U26" s="441"/>
      <c r="V26" s="417" t="s">
        <v>52</v>
      </c>
      <c r="W26" s="418"/>
      <c r="X26" s="425" cm="1">
        <f t="array" ref="X26">IFERROR(SUM(X24:Y24/COUNT(X12:Y23)),"")</f>
        <v>0.66666666666666674</v>
      </c>
      <c r="Y26" s="426"/>
      <c r="Z26" s="417" t="s">
        <v>55</v>
      </c>
      <c r="AA26" s="418"/>
      <c r="AB26" s="425">
        <f>IFERROR(SUM(AB24:AC24)/COUNT(AB12:AC23),"")</f>
        <v>0.75</v>
      </c>
      <c r="AC26" s="426"/>
      <c r="AD26" s="417" t="s">
        <v>58</v>
      </c>
      <c r="AE26" s="418"/>
      <c r="AF26" s="425">
        <f>IFERROR(SUM(AF24:AG24)/COUNT(AF12:AG23),"")</f>
        <v>0.875</v>
      </c>
      <c r="AG26" s="426"/>
      <c r="AH26" s="417" t="s">
        <v>61</v>
      </c>
      <c r="AI26" s="418"/>
      <c r="AJ26" s="425">
        <f>IFERROR(SUM(AJ24:AK24)/COUNT(AJ12:AK23),"")</f>
        <v>0.95833333333333337</v>
      </c>
      <c r="AK26" s="426"/>
      <c r="AL26" s="417" t="s">
        <v>64</v>
      </c>
      <c r="AM26" s="418"/>
      <c r="AN26" s="425" cm="1">
        <f t="array" ref="AN26">IFERROR(SUM(AN24:AO24/COUNT(AN12:AO23)),"")</f>
        <v>1</v>
      </c>
      <c r="AO26" s="426"/>
      <c r="AQ26" s="306"/>
      <c r="AR26" s="306"/>
      <c r="AS26" s="306"/>
      <c r="AT26" s="306"/>
      <c r="AU26" s="306"/>
      <c r="AV26" s="306"/>
      <c r="AW26" s="306"/>
      <c r="AX26" s="306"/>
      <c r="AY26" s="306"/>
      <c r="AZ26" s="306"/>
    </row>
    <row r="27" spans="1:52" ht="25.05" customHeight="1" thickTop="1" thickBot="1" x14ac:dyDescent="0.35">
      <c r="A27" s="2"/>
      <c r="R27" s="1"/>
      <c r="S27" s="1"/>
      <c r="T27" s="1"/>
    </row>
    <row r="28" spans="1:52" s="2" customFormat="1" ht="25.05" customHeight="1" thickTop="1" x14ac:dyDescent="0.3">
      <c r="A28" s="1"/>
      <c r="B28" s="470" t="s">
        <v>104</v>
      </c>
      <c r="C28" s="471"/>
      <c r="D28" s="471"/>
      <c r="E28" s="471"/>
      <c r="F28" s="471"/>
      <c r="G28" s="471"/>
      <c r="H28" s="471"/>
      <c r="I28" s="471"/>
      <c r="J28" s="471"/>
      <c r="K28" s="471"/>
      <c r="L28" s="471"/>
      <c r="M28" s="471"/>
      <c r="N28" s="472"/>
      <c r="AK28" s="1"/>
    </row>
    <row r="29" spans="1:52" s="2" customFormat="1" ht="25.05" customHeight="1" x14ac:dyDescent="0.3">
      <c r="A29" s="1"/>
      <c r="B29" s="408" t="s">
        <v>100</v>
      </c>
      <c r="C29" s="409"/>
      <c r="D29" s="409"/>
      <c r="E29" s="409"/>
      <c r="F29" s="409"/>
      <c r="G29" s="409"/>
      <c r="H29" s="409"/>
      <c r="I29" s="409"/>
      <c r="J29" s="409"/>
      <c r="K29" s="409"/>
      <c r="L29" s="409"/>
      <c r="M29" s="409"/>
      <c r="N29" s="410"/>
      <c r="AK29" s="1"/>
    </row>
    <row r="30" spans="1:52" s="2" customFormat="1" ht="25.05" customHeight="1" x14ac:dyDescent="0.3">
      <c r="A30" s="1"/>
      <c r="B30" s="408" t="s">
        <v>101</v>
      </c>
      <c r="C30" s="409"/>
      <c r="D30" s="409"/>
      <c r="E30" s="409"/>
      <c r="F30" s="409"/>
      <c r="G30" s="409"/>
      <c r="H30" s="409"/>
      <c r="I30" s="409"/>
      <c r="J30" s="409"/>
      <c r="K30" s="409"/>
      <c r="L30" s="409"/>
      <c r="M30" s="409"/>
      <c r="N30" s="410"/>
      <c r="AK30" s="1"/>
    </row>
    <row r="31" spans="1:52" s="2" customFormat="1" ht="25.05" customHeight="1" x14ac:dyDescent="0.3">
      <c r="A31" s="1"/>
      <c r="B31" s="408" t="s">
        <v>102</v>
      </c>
      <c r="C31" s="409"/>
      <c r="D31" s="409"/>
      <c r="E31" s="409"/>
      <c r="F31" s="409"/>
      <c r="G31" s="409"/>
      <c r="H31" s="409"/>
      <c r="I31" s="409"/>
      <c r="J31" s="409"/>
      <c r="K31" s="409"/>
      <c r="L31" s="409"/>
      <c r="M31" s="409"/>
      <c r="N31" s="410"/>
      <c r="AK31" s="1"/>
    </row>
    <row r="32" spans="1:52" s="2" customFormat="1" ht="25.05" customHeight="1" x14ac:dyDescent="0.3">
      <c r="A32" s="1"/>
      <c r="B32" s="408" t="s">
        <v>103</v>
      </c>
      <c r="C32" s="409"/>
      <c r="D32" s="409"/>
      <c r="E32" s="409"/>
      <c r="F32" s="409"/>
      <c r="G32" s="409"/>
      <c r="H32" s="409"/>
      <c r="I32" s="409"/>
      <c r="J32" s="409"/>
      <c r="K32" s="409"/>
      <c r="L32" s="409"/>
      <c r="M32" s="409"/>
      <c r="N32" s="410"/>
      <c r="AK32" s="1"/>
    </row>
    <row r="33" spans="1:16" s="2" customFormat="1" ht="25.05" customHeight="1" x14ac:dyDescent="0.3">
      <c r="A33" s="1"/>
      <c r="B33" s="408" t="s">
        <v>99</v>
      </c>
      <c r="C33" s="409"/>
      <c r="D33" s="409"/>
      <c r="E33" s="409"/>
      <c r="F33" s="409"/>
      <c r="G33" s="409"/>
      <c r="H33" s="409"/>
      <c r="I33" s="409"/>
      <c r="J33" s="409"/>
      <c r="K33" s="409"/>
      <c r="L33" s="409"/>
      <c r="M33" s="409"/>
      <c r="N33" s="410"/>
    </row>
    <row r="34" spans="1:16" s="2" customFormat="1" ht="25.05" customHeight="1" x14ac:dyDescent="0.3">
      <c r="A34" s="1"/>
      <c r="B34" s="408" t="s">
        <v>98</v>
      </c>
      <c r="C34" s="409"/>
      <c r="D34" s="409"/>
      <c r="E34" s="409"/>
      <c r="F34" s="409"/>
      <c r="G34" s="409"/>
      <c r="H34" s="409"/>
      <c r="I34" s="409"/>
      <c r="J34" s="409"/>
      <c r="K34" s="409"/>
      <c r="L34" s="409"/>
      <c r="M34" s="409"/>
      <c r="N34" s="410"/>
    </row>
    <row r="35" spans="1:16" s="2" customFormat="1" ht="25.05" customHeight="1" x14ac:dyDescent="0.3">
      <c r="A35" s="1"/>
      <c r="B35" s="408" t="s">
        <v>97</v>
      </c>
      <c r="C35" s="409"/>
      <c r="D35" s="409"/>
      <c r="E35" s="409"/>
      <c r="F35" s="409"/>
      <c r="G35" s="409"/>
      <c r="H35" s="409"/>
      <c r="I35" s="409"/>
      <c r="J35" s="409"/>
      <c r="K35" s="409"/>
      <c r="L35" s="409"/>
      <c r="M35" s="409"/>
      <c r="N35" s="410"/>
    </row>
    <row r="36" spans="1:16" s="2" customFormat="1" ht="31.8" customHeight="1" x14ac:dyDescent="0.3">
      <c r="A36" s="1"/>
      <c r="B36" s="408" t="s">
        <v>96</v>
      </c>
      <c r="C36" s="409"/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10"/>
    </row>
    <row r="37" spans="1:16" s="2" customFormat="1" ht="25.05" customHeight="1" x14ac:dyDescent="0.3">
      <c r="A37" s="1"/>
      <c r="B37" s="408" t="s">
        <v>95</v>
      </c>
      <c r="C37" s="409"/>
      <c r="D37" s="409"/>
      <c r="E37" s="409"/>
      <c r="F37" s="409"/>
      <c r="G37" s="409"/>
      <c r="H37" s="409"/>
      <c r="I37" s="409"/>
      <c r="J37" s="409"/>
      <c r="K37" s="409"/>
      <c r="L37" s="409"/>
      <c r="M37" s="409"/>
      <c r="N37" s="410"/>
    </row>
    <row r="38" spans="1:16" s="2" customFormat="1" ht="25.05" customHeight="1" x14ac:dyDescent="0.3">
      <c r="A38" s="1"/>
      <c r="B38" s="408" t="s">
        <v>94</v>
      </c>
      <c r="C38" s="409"/>
      <c r="D38" s="409"/>
      <c r="E38" s="409"/>
      <c r="F38" s="409"/>
      <c r="G38" s="409"/>
      <c r="H38" s="409"/>
      <c r="I38" s="409"/>
      <c r="J38" s="409"/>
      <c r="K38" s="409"/>
      <c r="L38" s="409"/>
      <c r="M38" s="409"/>
      <c r="N38" s="410"/>
    </row>
    <row r="39" spans="1:16" s="2" customFormat="1" ht="25.05" customHeight="1" x14ac:dyDescent="0.3">
      <c r="A39" s="1"/>
      <c r="B39" s="408" t="s">
        <v>93</v>
      </c>
      <c r="C39" s="409"/>
      <c r="D39" s="409"/>
      <c r="E39" s="409"/>
      <c r="F39" s="409"/>
      <c r="G39" s="409"/>
      <c r="H39" s="409"/>
      <c r="I39" s="409"/>
      <c r="J39" s="409"/>
      <c r="K39" s="409"/>
      <c r="L39" s="409"/>
      <c r="M39" s="409"/>
      <c r="N39" s="410"/>
    </row>
    <row r="40" spans="1:16" s="2" customFormat="1" ht="25.05" customHeight="1" x14ac:dyDescent="0.3">
      <c r="A40" s="1"/>
      <c r="B40" s="408" t="s">
        <v>92</v>
      </c>
      <c r="C40" s="409"/>
      <c r="D40" s="409"/>
      <c r="E40" s="409"/>
      <c r="F40" s="409"/>
      <c r="G40" s="409"/>
      <c r="H40" s="409"/>
      <c r="I40" s="409"/>
      <c r="J40" s="409"/>
      <c r="K40" s="409"/>
      <c r="L40" s="409"/>
      <c r="M40" s="409"/>
      <c r="N40" s="410"/>
      <c r="P40" s="1"/>
    </row>
    <row r="41" spans="1:16" s="2" customFormat="1" ht="25.05" customHeight="1" x14ac:dyDescent="0.3">
      <c r="A41" s="1"/>
      <c r="B41" s="408" t="s">
        <v>89</v>
      </c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09"/>
      <c r="N41" s="410"/>
    </row>
    <row r="42" spans="1:16" s="2" customFormat="1" ht="25.05" customHeight="1" x14ac:dyDescent="0.3">
      <c r="A42" s="1"/>
      <c r="B42" s="408" t="s">
        <v>90</v>
      </c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10"/>
    </row>
    <row r="43" spans="1:16" s="2" customFormat="1" ht="25.05" customHeight="1" x14ac:dyDescent="0.3">
      <c r="A43" s="1"/>
      <c r="B43" s="408" t="s">
        <v>91</v>
      </c>
      <c r="C43" s="409"/>
      <c r="D43" s="409"/>
      <c r="E43" s="409"/>
      <c r="F43" s="409"/>
      <c r="G43" s="409"/>
      <c r="H43" s="409"/>
      <c r="I43" s="409"/>
      <c r="J43" s="409"/>
      <c r="K43" s="409"/>
      <c r="L43" s="409"/>
      <c r="M43" s="409"/>
      <c r="N43" s="410"/>
    </row>
    <row r="44" spans="1:16" s="2" customFormat="1" ht="25.05" customHeight="1" x14ac:dyDescent="0.3">
      <c r="A44" s="1"/>
      <c r="B44" s="408" t="s">
        <v>88</v>
      </c>
      <c r="C44" s="409"/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10"/>
    </row>
    <row r="45" spans="1:16" s="2" customFormat="1" ht="25.05" customHeight="1" x14ac:dyDescent="0.3">
      <c r="A45" s="1"/>
      <c r="B45" s="408" t="s">
        <v>87</v>
      </c>
      <c r="C45" s="409"/>
      <c r="D45" s="409"/>
      <c r="E45" s="409"/>
      <c r="F45" s="409"/>
      <c r="G45" s="409"/>
      <c r="H45" s="409"/>
      <c r="I45" s="409"/>
      <c r="J45" s="409"/>
      <c r="K45" s="409"/>
      <c r="L45" s="409"/>
      <c r="M45" s="409"/>
      <c r="N45" s="410"/>
    </row>
    <row r="46" spans="1:16" s="2" customFormat="1" ht="25.05" customHeight="1" x14ac:dyDescent="0.3">
      <c r="A46" s="1"/>
      <c r="B46" s="408" t="s">
        <v>86</v>
      </c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09"/>
      <c r="N46" s="410"/>
    </row>
    <row r="47" spans="1:16" s="2" customFormat="1" ht="25.05" customHeight="1" x14ac:dyDescent="0.3">
      <c r="A47" s="1"/>
      <c r="B47" s="408" t="s">
        <v>85</v>
      </c>
      <c r="C47" s="409"/>
      <c r="D47" s="409"/>
      <c r="E47" s="409"/>
      <c r="F47" s="409"/>
      <c r="G47" s="409"/>
      <c r="H47" s="409"/>
      <c r="I47" s="409"/>
      <c r="J47" s="409"/>
      <c r="K47" s="409"/>
      <c r="L47" s="409"/>
      <c r="M47" s="409"/>
      <c r="N47" s="410"/>
    </row>
    <row r="48" spans="1:16" s="2" customFormat="1" ht="25.05" customHeight="1" x14ac:dyDescent="0.3">
      <c r="A48" s="1"/>
      <c r="B48" s="408" t="s">
        <v>84</v>
      </c>
      <c r="C48" s="409"/>
      <c r="D48" s="409"/>
      <c r="E48" s="409"/>
      <c r="F48" s="409"/>
      <c r="G48" s="409"/>
      <c r="H48" s="409"/>
      <c r="I48" s="409"/>
      <c r="J48" s="409"/>
      <c r="K48" s="409"/>
      <c r="L48" s="409"/>
      <c r="M48" s="409"/>
      <c r="N48" s="410"/>
    </row>
    <row r="49" spans="1:15" s="2" customFormat="1" ht="25.05" customHeight="1" x14ac:dyDescent="0.3">
      <c r="A49" s="1"/>
      <c r="B49" s="408" t="s">
        <v>83</v>
      </c>
      <c r="C49" s="409"/>
      <c r="D49" s="409"/>
      <c r="E49" s="409"/>
      <c r="F49" s="409"/>
      <c r="G49" s="409"/>
      <c r="H49" s="409"/>
      <c r="I49" s="409"/>
      <c r="J49" s="409"/>
      <c r="K49" s="409"/>
      <c r="L49" s="409"/>
      <c r="M49" s="409"/>
      <c r="N49" s="410"/>
    </row>
    <row r="50" spans="1:15" s="2" customFormat="1" ht="25.05" customHeight="1" thickBot="1" x14ac:dyDescent="0.35">
      <c r="A50" s="1"/>
      <c r="B50" s="454" t="s">
        <v>82</v>
      </c>
      <c r="C50" s="455"/>
      <c r="D50" s="455"/>
      <c r="E50" s="455"/>
      <c r="F50" s="455"/>
      <c r="G50" s="455"/>
      <c r="H50" s="455"/>
      <c r="I50" s="455"/>
      <c r="J50" s="455"/>
      <c r="K50" s="455"/>
      <c r="L50" s="455"/>
      <c r="M50" s="455"/>
      <c r="N50" s="456"/>
    </row>
    <row r="51" spans="1:15" s="2" customFormat="1" ht="25.05" customHeight="1" thickTop="1" thickBot="1" x14ac:dyDescent="0.35">
      <c r="A51" s="1"/>
    </row>
    <row r="52" spans="1:15" s="2" customFormat="1" ht="25.05" customHeight="1" thickTop="1" x14ac:dyDescent="0.3">
      <c r="A52" s="33"/>
      <c r="B52" s="430" t="s">
        <v>65</v>
      </c>
      <c r="C52" s="431"/>
      <c r="D52" s="431"/>
      <c r="E52" s="431"/>
      <c r="F52" s="431"/>
      <c r="G52" s="431"/>
      <c r="H52" s="431"/>
      <c r="I52" s="431"/>
      <c r="J52" s="431"/>
      <c r="K52" s="431"/>
      <c r="L52" s="431"/>
      <c r="M52" s="431"/>
      <c r="N52" s="431"/>
      <c r="O52" s="432"/>
    </row>
    <row r="53" spans="1:15" s="2" customFormat="1" ht="25.05" customHeight="1" x14ac:dyDescent="0.3">
      <c r="A53" s="33"/>
      <c r="B53" s="427" t="s">
        <v>159</v>
      </c>
      <c r="C53" s="427"/>
      <c r="D53" s="427"/>
      <c r="E53" s="427"/>
      <c r="F53" s="427"/>
      <c r="G53" s="427"/>
      <c r="H53" s="427"/>
      <c r="I53" s="427"/>
      <c r="J53" s="427"/>
      <c r="K53" s="427"/>
      <c r="L53" s="427"/>
      <c r="M53" s="427"/>
      <c r="N53" s="428"/>
      <c r="O53" s="429" t="s">
        <v>16</v>
      </c>
    </row>
    <row r="54" spans="1:15" s="2" customFormat="1" ht="25.05" customHeight="1" x14ac:dyDescent="0.3">
      <c r="A54" s="33"/>
      <c r="B54" s="427"/>
      <c r="C54" s="427"/>
      <c r="D54" s="427"/>
      <c r="E54" s="427"/>
      <c r="F54" s="427"/>
      <c r="G54" s="427"/>
      <c r="H54" s="427"/>
      <c r="I54" s="427"/>
      <c r="J54" s="427"/>
      <c r="K54" s="427"/>
      <c r="L54" s="427"/>
      <c r="M54" s="427"/>
      <c r="N54" s="428"/>
      <c r="O54" s="429"/>
    </row>
    <row r="55" spans="1:15" s="2" customFormat="1" ht="25.05" customHeight="1" x14ac:dyDescent="0.3">
      <c r="A55" s="33"/>
      <c r="B55" s="427" t="s">
        <v>160</v>
      </c>
      <c r="C55" s="427"/>
      <c r="D55" s="427"/>
      <c r="E55" s="427"/>
      <c r="F55" s="427"/>
      <c r="G55" s="427"/>
      <c r="H55" s="427"/>
      <c r="I55" s="427"/>
      <c r="J55" s="427"/>
      <c r="K55" s="427"/>
      <c r="L55" s="427"/>
      <c r="M55" s="427"/>
      <c r="N55" s="428"/>
      <c r="O55" s="429" t="s">
        <v>16</v>
      </c>
    </row>
    <row r="56" spans="1:15" s="2" customFormat="1" ht="25.05" customHeight="1" x14ac:dyDescent="0.3">
      <c r="A56" s="33"/>
      <c r="B56" s="427"/>
      <c r="C56" s="427"/>
      <c r="D56" s="427"/>
      <c r="E56" s="427"/>
      <c r="F56" s="427"/>
      <c r="G56" s="427"/>
      <c r="H56" s="427"/>
      <c r="I56" s="427"/>
      <c r="J56" s="427"/>
      <c r="K56" s="427"/>
      <c r="L56" s="427"/>
      <c r="M56" s="427"/>
      <c r="N56" s="428"/>
      <c r="O56" s="429"/>
    </row>
    <row r="57" spans="1:15" s="2" customFormat="1" ht="25.05" customHeight="1" x14ac:dyDescent="0.3">
      <c r="A57" s="33"/>
      <c r="B57" s="427" t="s">
        <v>156</v>
      </c>
      <c r="C57" s="427"/>
      <c r="D57" s="427"/>
      <c r="E57" s="427"/>
      <c r="F57" s="427"/>
      <c r="G57" s="427"/>
      <c r="H57" s="427"/>
      <c r="I57" s="427"/>
      <c r="J57" s="427"/>
      <c r="K57" s="427"/>
      <c r="L57" s="427"/>
      <c r="M57" s="427"/>
      <c r="N57" s="428"/>
      <c r="O57" s="429" t="s">
        <v>16</v>
      </c>
    </row>
    <row r="58" spans="1:15" s="2" customFormat="1" ht="25.05" customHeight="1" x14ac:dyDescent="0.3">
      <c r="A58" s="33"/>
      <c r="B58" s="427"/>
      <c r="C58" s="427"/>
      <c r="D58" s="427"/>
      <c r="E58" s="427"/>
      <c r="F58" s="427"/>
      <c r="G58" s="427"/>
      <c r="H58" s="427"/>
      <c r="I58" s="427"/>
      <c r="J58" s="427"/>
      <c r="K58" s="427"/>
      <c r="L58" s="427"/>
      <c r="M58" s="427"/>
      <c r="N58" s="428"/>
      <c r="O58" s="429"/>
    </row>
    <row r="59" spans="1:15" s="2" customFormat="1" ht="25.05" customHeight="1" x14ac:dyDescent="0.3">
      <c r="A59" s="33"/>
      <c r="B59" s="427" t="s">
        <v>158</v>
      </c>
      <c r="C59" s="427"/>
      <c r="D59" s="427"/>
      <c r="E59" s="427"/>
      <c r="F59" s="427"/>
      <c r="G59" s="427"/>
      <c r="H59" s="427"/>
      <c r="I59" s="427"/>
      <c r="J59" s="427"/>
      <c r="K59" s="427"/>
      <c r="L59" s="427"/>
      <c r="M59" s="427"/>
      <c r="N59" s="428"/>
      <c r="O59" s="429" t="s">
        <v>16</v>
      </c>
    </row>
    <row r="60" spans="1:15" s="2" customFormat="1" ht="25.05" customHeight="1" x14ac:dyDescent="0.3">
      <c r="A60" s="33"/>
      <c r="B60" s="427"/>
      <c r="C60" s="427"/>
      <c r="D60" s="427"/>
      <c r="E60" s="427"/>
      <c r="F60" s="427"/>
      <c r="G60" s="427"/>
      <c r="H60" s="427"/>
      <c r="I60" s="427"/>
      <c r="J60" s="427"/>
      <c r="K60" s="427"/>
      <c r="L60" s="427"/>
      <c r="M60" s="427"/>
      <c r="N60" s="428"/>
      <c r="O60" s="429"/>
    </row>
    <row r="61" spans="1:15" s="2" customFormat="1" ht="25.05" customHeight="1" x14ac:dyDescent="0.3">
      <c r="A61" s="33"/>
      <c r="B61" s="427" t="s">
        <v>157</v>
      </c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8"/>
      <c r="O61" s="429" t="s">
        <v>16</v>
      </c>
    </row>
    <row r="62" spans="1:15" s="2" customFormat="1" ht="25.05" customHeight="1" x14ac:dyDescent="0.3">
      <c r="A62" s="33"/>
      <c r="B62" s="427"/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8"/>
      <c r="O62" s="429"/>
    </row>
    <row r="63" spans="1:15" s="2" customFormat="1" ht="25.05" customHeight="1" x14ac:dyDescent="0.3">
      <c r="A63" s="33"/>
      <c r="B63" s="427" t="s">
        <v>161</v>
      </c>
      <c r="C63" s="427"/>
      <c r="D63" s="427"/>
      <c r="E63" s="427"/>
      <c r="F63" s="427"/>
      <c r="G63" s="427"/>
      <c r="H63" s="427"/>
      <c r="I63" s="427"/>
      <c r="J63" s="427"/>
      <c r="K63" s="427"/>
      <c r="L63" s="427"/>
      <c r="M63" s="427"/>
      <c r="N63" s="428"/>
      <c r="O63" s="429" t="s">
        <v>16</v>
      </c>
    </row>
    <row r="64" spans="1:15" s="2" customFormat="1" ht="25.05" customHeight="1" x14ac:dyDescent="0.3">
      <c r="A64" s="33"/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8"/>
      <c r="O64" s="429"/>
    </row>
    <row r="65" spans="1:15" s="2" customFormat="1" ht="25.05" customHeight="1" x14ac:dyDescent="0.3">
      <c r="A65" s="33"/>
      <c r="B65" s="427" t="s">
        <v>162</v>
      </c>
      <c r="C65" s="427"/>
      <c r="D65" s="427"/>
      <c r="E65" s="427"/>
      <c r="F65" s="427"/>
      <c r="G65" s="427"/>
      <c r="H65" s="427"/>
      <c r="I65" s="427"/>
      <c r="J65" s="427"/>
      <c r="K65" s="427"/>
      <c r="L65" s="427"/>
      <c r="M65" s="427"/>
      <c r="N65" s="428"/>
      <c r="O65" s="429" t="s">
        <v>16</v>
      </c>
    </row>
    <row r="66" spans="1:15" s="2" customFormat="1" ht="25.05" customHeight="1" x14ac:dyDescent="0.3">
      <c r="A66" s="33"/>
      <c r="B66" s="427"/>
      <c r="C66" s="427"/>
      <c r="D66" s="427"/>
      <c r="E66" s="427"/>
      <c r="F66" s="427"/>
      <c r="G66" s="427"/>
      <c r="H66" s="427"/>
      <c r="I66" s="427"/>
      <c r="J66" s="427"/>
      <c r="K66" s="427"/>
      <c r="L66" s="427"/>
      <c r="M66" s="427"/>
      <c r="N66" s="428"/>
      <c r="O66" s="429"/>
    </row>
    <row r="67" spans="1:15" s="2" customFormat="1" ht="25.05" customHeight="1" x14ac:dyDescent="0.3">
      <c r="A67" s="33"/>
      <c r="B67" s="427" t="s">
        <v>163</v>
      </c>
      <c r="C67" s="427"/>
      <c r="D67" s="427"/>
      <c r="E67" s="427"/>
      <c r="F67" s="427"/>
      <c r="G67" s="427"/>
      <c r="H67" s="427"/>
      <c r="I67" s="427"/>
      <c r="J67" s="427"/>
      <c r="K67" s="427"/>
      <c r="L67" s="427"/>
      <c r="M67" s="427"/>
      <c r="N67" s="428"/>
      <c r="O67" s="429" t="s">
        <v>16</v>
      </c>
    </row>
    <row r="68" spans="1:15" s="2" customFormat="1" ht="25.05" customHeight="1" x14ac:dyDescent="0.3">
      <c r="A68" s="33"/>
      <c r="B68" s="427"/>
      <c r="C68" s="427"/>
      <c r="D68" s="427"/>
      <c r="E68" s="427"/>
      <c r="F68" s="427"/>
      <c r="G68" s="427"/>
      <c r="H68" s="427"/>
      <c r="I68" s="427"/>
      <c r="J68" s="427"/>
      <c r="K68" s="427"/>
      <c r="L68" s="427"/>
      <c r="M68" s="427"/>
      <c r="N68" s="428"/>
      <c r="O68" s="429"/>
    </row>
    <row r="69" spans="1:15" s="2" customFormat="1" ht="25.05" customHeight="1" x14ac:dyDescent="0.3">
      <c r="A69" s="33"/>
      <c r="B69" s="447" t="s">
        <v>164</v>
      </c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9"/>
      <c r="O69" s="429" t="s">
        <v>16</v>
      </c>
    </row>
    <row r="70" spans="1:15" s="2" customFormat="1" ht="25.05" customHeight="1" thickBot="1" x14ac:dyDescent="0.35">
      <c r="A70" s="33"/>
      <c r="B70" s="450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2"/>
      <c r="O70" s="429"/>
    </row>
    <row r="71" spans="1:15" ht="25.05" customHeight="1" thickTop="1" thickBot="1" x14ac:dyDescent="0.35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77"/>
    </row>
    <row r="72" spans="1:15" ht="22.05" customHeight="1" x14ac:dyDescent="0.3">
      <c r="B72" s="444" t="s">
        <v>66</v>
      </c>
      <c r="C72" s="445"/>
      <c r="D72" s="445"/>
      <c r="E72" s="445"/>
      <c r="F72" s="445"/>
      <c r="G72" s="445"/>
      <c r="H72" s="445"/>
      <c r="I72" s="445"/>
      <c r="J72" s="445"/>
      <c r="K72" s="445"/>
      <c r="L72" s="445"/>
      <c r="M72" s="445"/>
      <c r="N72" s="445"/>
      <c r="O72" s="446"/>
    </row>
    <row r="73" spans="1:15" ht="15" customHeight="1" x14ac:dyDescent="0.3">
      <c r="B73" s="457" t="s">
        <v>67</v>
      </c>
      <c r="C73" s="458"/>
      <c r="D73" s="458"/>
      <c r="E73" s="458"/>
      <c r="F73" s="479" t="s">
        <v>140</v>
      </c>
      <c r="G73" s="479"/>
      <c r="H73" s="479"/>
      <c r="I73" s="479"/>
      <c r="J73" s="479"/>
      <c r="K73" s="479"/>
      <c r="L73" s="479"/>
      <c r="M73" s="479"/>
      <c r="N73" s="479"/>
      <c r="O73" s="480"/>
    </row>
    <row r="74" spans="1:15" ht="15" customHeight="1" x14ac:dyDescent="0.3">
      <c r="B74" s="457" t="s">
        <v>68</v>
      </c>
      <c r="C74" s="458"/>
      <c r="D74" s="458"/>
      <c r="E74" s="458"/>
      <c r="F74" s="479" t="s">
        <v>248</v>
      </c>
      <c r="G74" s="479"/>
      <c r="H74" s="479"/>
      <c r="I74" s="479"/>
      <c r="J74" s="479"/>
      <c r="K74" s="479"/>
      <c r="L74" s="479"/>
      <c r="M74" s="479"/>
      <c r="N74" s="479"/>
      <c r="O74" s="480"/>
    </row>
    <row r="75" spans="1:15" ht="15" customHeight="1" x14ac:dyDescent="0.3">
      <c r="B75" s="457" t="s">
        <v>69</v>
      </c>
      <c r="C75" s="458"/>
      <c r="D75" s="458"/>
      <c r="E75" s="458"/>
      <c r="F75" s="481" t="s">
        <v>188</v>
      </c>
      <c r="G75" s="479"/>
      <c r="H75" s="479"/>
      <c r="I75" s="479"/>
      <c r="J75" s="479"/>
      <c r="K75" s="479"/>
      <c r="L75" s="479"/>
      <c r="M75" s="479"/>
      <c r="N75" s="479"/>
      <c r="O75" s="480"/>
    </row>
    <row r="76" spans="1:15" ht="15" customHeight="1" x14ac:dyDescent="0.3">
      <c r="B76" s="457" t="s">
        <v>70</v>
      </c>
      <c r="C76" s="458"/>
      <c r="D76" s="458"/>
      <c r="E76" s="458"/>
      <c r="F76" s="479" t="s">
        <v>71</v>
      </c>
      <c r="G76" s="479"/>
      <c r="H76" s="479"/>
      <c r="I76" s="479"/>
      <c r="J76" s="479"/>
      <c r="K76" s="479"/>
      <c r="L76" s="479"/>
      <c r="M76" s="479"/>
      <c r="N76" s="479"/>
      <c r="O76" s="480"/>
    </row>
    <row r="77" spans="1:15" ht="15" customHeight="1" x14ac:dyDescent="0.3">
      <c r="B77" s="457" t="s">
        <v>72</v>
      </c>
      <c r="C77" s="458"/>
      <c r="D77" s="458"/>
      <c r="E77" s="458"/>
      <c r="F77" s="459" t="s">
        <v>73</v>
      </c>
      <c r="G77" s="459"/>
      <c r="H77" s="459"/>
      <c r="I77" s="459"/>
      <c r="J77" s="459"/>
      <c r="K77" s="459"/>
      <c r="L77" s="459"/>
      <c r="M77" s="459"/>
      <c r="N77" s="459"/>
      <c r="O77" s="482"/>
    </row>
    <row r="78" spans="1:15" ht="15" customHeight="1" x14ac:dyDescent="0.3">
      <c r="B78" s="457" t="s">
        <v>74</v>
      </c>
      <c r="C78" s="458"/>
      <c r="D78" s="458"/>
      <c r="E78" s="458"/>
      <c r="F78" s="479" t="s">
        <v>75</v>
      </c>
      <c r="G78" s="479"/>
      <c r="H78" s="479"/>
      <c r="I78" s="479"/>
      <c r="J78" s="479"/>
      <c r="K78" s="479"/>
      <c r="L78" s="479"/>
      <c r="M78" s="479"/>
      <c r="N78" s="479"/>
      <c r="O78" s="480"/>
    </row>
    <row r="79" spans="1:15" ht="15" customHeight="1" x14ac:dyDescent="0.3">
      <c r="B79" s="457" t="s">
        <v>76</v>
      </c>
      <c r="C79" s="458"/>
      <c r="D79" s="458"/>
      <c r="E79" s="458"/>
      <c r="F79" s="459" t="s">
        <v>189</v>
      </c>
      <c r="G79" s="460"/>
      <c r="H79" s="460"/>
      <c r="I79" s="460"/>
      <c r="J79" s="460"/>
      <c r="K79" s="460"/>
      <c r="L79" s="460"/>
      <c r="M79" s="460"/>
      <c r="N79" s="460"/>
      <c r="O79" s="461"/>
    </row>
    <row r="80" spans="1:15" ht="15" customHeight="1" x14ac:dyDescent="0.3">
      <c r="B80" s="457" t="s">
        <v>77</v>
      </c>
      <c r="C80" s="458"/>
      <c r="D80" s="458"/>
      <c r="E80" s="458"/>
      <c r="F80" s="459" t="s">
        <v>190</v>
      </c>
      <c r="G80" s="460"/>
      <c r="H80" s="460"/>
      <c r="I80" s="460"/>
      <c r="J80" s="460"/>
      <c r="K80" s="460"/>
      <c r="L80" s="460"/>
      <c r="M80" s="460"/>
      <c r="N80" s="460"/>
      <c r="O80" s="461"/>
    </row>
    <row r="81" spans="2:15" ht="30" customHeight="1" thickBot="1" x14ac:dyDescent="0.35">
      <c r="B81" s="462" t="s">
        <v>78</v>
      </c>
      <c r="C81" s="463"/>
      <c r="D81" s="463"/>
      <c r="E81" s="463"/>
      <c r="F81" s="464" t="s">
        <v>79</v>
      </c>
      <c r="G81" s="464"/>
      <c r="H81" s="464"/>
      <c r="I81" s="464"/>
      <c r="J81" s="464"/>
      <c r="K81" s="464"/>
      <c r="L81" s="464"/>
      <c r="M81" s="464"/>
      <c r="N81" s="464"/>
      <c r="O81" s="465"/>
    </row>
    <row r="82" spans="2:15" ht="25.05" customHeight="1" x14ac:dyDescent="0.25"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</row>
  </sheetData>
  <mergeCells count="139">
    <mergeCell ref="B80:E80"/>
    <mergeCell ref="F80:O80"/>
    <mergeCell ref="B81:E81"/>
    <mergeCell ref="F81:O81"/>
    <mergeCell ref="B79:E79"/>
    <mergeCell ref="B2:C3"/>
    <mergeCell ref="B28:N28"/>
    <mergeCell ref="B29:N29"/>
    <mergeCell ref="B30:N30"/>
    <mergeCell ref="B31:N31"/>
    <mergeCell ref="B32:N32"/>
    <mergeCell ref="D2:N2"/>
    <mergeCell ref="D3:N3"/>
    <mergeCell ref="F79:O79"/>
    <mergeCell ref="B78:E78"/>
    <mergeCell ref="F78:O78"/>
    <mergeCell ref="F73:O73"/>
    <mergeCell ref="F74:O74"/>
    <mergeCell ref="F75:O75"/>
    <mergeCell ref="F76:O76"/>
    <mergeCell ref="F77:O77"/>
    <mergeCell ref="B57:N58"/>
    <mergeCell ref="O57:O58"/>
    <mergeCell ref="B59:N60"/>
    <mergeCell ref="AQ18:AV18"/>
    <mergeCell ref="AN26:AO26"/>
    <mergeCell ref="B50:N50"/>
    <mergeCell ref="O59:O60"/>
    <mergeCell ref="B61:N62"/>
    <mergeCell ref="O61:O62"/>
    <mergeCell ref="B75:E75"/>
    <mergeCell ref="B76:E76"/>
    <mergeCell ref="B77:E77"/>
    <mergeCell ref="B73:E73"/>
    <mergeCell ref="B74:E74"/>
    <mergeCell ref="B65:N66"/>
    <mergeCell ref="O65:O66"/>
    <mergeCell ref="B67:N68"/>
    <mergeCell ref="P18:Q18"/>
    <mergeCell ref="P13:Q13"/>
    <mergeCell ref="B53:N54"/>
    <mergeCell ref="B72:O72"/>
    <mergeCell ref="O67:O68"/>
    <mergeCell ref="B69:N70"/>
    <mergeCell ref="O69:O70"/>
    <mergeCell ref="O53:O54"/>
    <mergeCell ref="B55:N56"/>
    <mergeCell ref="O55:O56"/>
    <mergeCell ref="P14:Q14"/>
    <mergeCell ref="AL10:AM10"/>
    <mergeCell ref="AL24:AM24"/>
    <mergeCell ref="AL25:AM25"/>
    <mergeCell ref="AL26:AM26"/>
    <mergeCell ref="AF26:AG26"/>
    <mergeCell ref="AH10:AI10"/>
    <mergeCell ref="B63:N64"/>
    <mergeCell ref="O63:O64"/>
    <mergeCell ref="AJ26:AK26"/>
    <mergeCell ref="B42:N42"/>
    <mergeCell ref="B43:N43"/>
    <mergeCell ref="B44:N44"/>
    <mergeCell ref="B45:N45"/>
    <mergeCell ref="B52:O52"/>
    <mergeCell ref="T23:U23"/>
    <mergeCell ref="AH24:AI24"/>
    <mergeCell ref="AH25:AI25"/>
    <mergeCell ref="AH26:AI26"/>
    <mergeCell ref="V10:W10"/>
    <mergeCell ref="V24:W24"/>
    <mergeCell ref="B24:U26"/>
    <mergeCell ref="P10:Q11"/>
    <mergeCell ref="O10:O11"/>
    <mergeCell ref="N10:N11"/>
    <mergeCell ref="AD10:AE10"/>
    <mergeCell ref="AD24:AE24"/>
    <mergeCell ref="AD25:AE25"/>
    <mergeCell ref="AD26:AE26"/>
    <mergeCell ref="T12:U12"/>
    <mergeCell ref="T10:U11"/>
    <mergeCell ref="S10:S11"/>
    <mergeCell ref="R10:R11"/>
    <mergeCell ref="T16:U16"/>
    <mergeCell ref="T19:U19"/>
    <mergeCell ref="T20:U20"/>
    <mergeCell ref="T21:U21"/>
    <mergeCell ref="T22:U22"/>
    <mergeCell ref="T17:U17"/>
    <mergeCell ref="T18:U18"/>
    <mergeCell ref="T13:U13"/>
    <mergeCell ref="Z10:AA10"/>
    <mergeCell ref="Z24:AA24"/>
    <mergeCell ref="Z25:AA25"/>
    <mergeCell ref="Z26:AA26"/>
    <mergeCell ref="AB26:AC26"/>
    <mergeCell ref="X26:Y26"/>
    <mergeCell ref="V25:W25"/>
    <mergeCell ref="V26:W26"/>
    <mergeCell ref="T14:U14"/>
    <mergeCell ref="P15:Q15"/>
    <mergeCell ref="T15:U15"/>
    <mergeCell ref="P16:Q16"/>
    <mergeCell ref="B46:N46"/>
    <mergeCell ref="B47:N47"/>
    <mergeCell ref="B48:N48"/>
    <mergeCell ref="B49:N49"/>
    <mergeCell ref="B34:N34"/>
    <mergeCell ref="B35:N35"/>
    <mergeCell ref="B36:N36"/>
    <mergeCell ref="B37:N37"/>
    <mergeCell ref="B38:N38"/>
    <mergeCell ref="B39:N39"/>
    <mergeCell ref="P17:Q17"/>
    <mergeCell ref="P23:Q23"/>
    <mergeCell ref="B40:N40"/>
    <mergeCell ref="B41:N41"/>
    <mergeCell ref="B33:N33"/>
    <mergeCell ref="P19:Q19"/>
    <mergeCell ref="P20:Q20"/>
    <mergeCell ref="P21:Q21"/>
    <mergeCell ref="P22:Q22"/>
    <mergeCell ref="P12:Q12"/>
    <mergeCell ref="B10:B11"/>
    <mergeCell ref="E10:E11"/>
    <mergeCell ref="D10:D11"/>
    <mergeCell ref="B5:F5"/>
    <mergeCell ref="B6:F6"/>
    <mergeCell ref="B7:F7"/>
    <mergeCell ref="B8:F8"/>
    <mergeCell ref="C10:C11"/>
    <mergeCell ref="H5:O6"/>
    <mergeCell ref="H8:O8"/>
    <mergeCell ref="H7:O7"/>
    <mergeCell ref="J10:J11"/>
    <mergeCell ref="I10:I11"/>
    <mergeCell ref="H10:H11"/>
    <mergeCell ref="L10:L11"/>
    <mergeCell ref="K10:K11"/>
    <mergeCell ref="F10:G10"/>
    <mergeCell ref="M10:M11"/>
  </mergeCells>
  <dataValidations count="1">
    <dataValidation type="list" allowBlank="1" showInputMessage="1" showErrorMessage="1" sqref="G5" xr:uid="{D2AE3C35-A1FF-420A-AABF-53CE26A3282A}">
      <formula1>$P$5:$P$6</formula1>
    </dataValidation>
  </dataValidations>
  <hyperlinks>
    <hyperlink ref="O55:O56" r:id="rId1" display="Link" xr:uid="{06B52751-AF54-47EA-A322-1D3A5DF88E78}"/>
    <hyperlink ref="O57:O58" r:id="rId2" display="Link" xr:uid="{121B988A-0D65-4A7A-B6FB-289DDD91C0BD}"/>
    <hyperlink ref="O61:O62" r:id="rId3" display="Link" xr:uid="{FB74E148-9271-405B-B445-5327706DCEBB}"/>
    <hyperlink ref="O63:O64" r:id="rId4" display="Link" xr:uid="{FC197B72-C5B1-42AA-A014-EE13DC9BA06F}"/>
    <hyperlink ref="O67:O68" r:id="rId5" display="Link" xr:uid="{5A203D9B-FD02-4B1E-A25B-D6EC95C6C3FB}"/>
    <hyperlink ref="O59:O60" r:id="rId6" display="Link" xr:uid="{1E47EDF5-76A7-48DB-8042-E81FFCB1C269}"/>
    <hyperlink ref="O69:O70" r:id="rId7" display="Link" xr:uid="{97B23E59-F59E-435D-8E3C-A5236D9572E1}"/>
    <hyperlink ref="O53:O54" r:id="rId8" display="Link" xr:uid="{58860A97-A873-466B-910C-B9A6F0653FEB}"/>
    <hyperlink ref="O65:O66" r:id="rId9" display="Link" xr:uid="{90C993DC-1808-443B-93FF-5FA0ABA2E143}"/>
    <hyperlink ref="B77" r:id="rId10" display="https://grupolabr.com/Team.html" xr:uid="{5463B7F9-5DA5-4764-9E06-A145CABC48FA}"/>
    <hyperlink ref="F77" r:id="rId11" xr:uid="{A1CBDB9A-C6E5-492E-897A-5D0712F63B9F}"/>
    <hyperlink ref="F77:O77" r:id="rId12" display="https://orcid.org/0000-0002-7159-4593" xr:uid="{2F469F69-96B4-412C-9B7C-4C2A2F6FB0DC}"/>
    <hyperlink ref="F79" r:id="rId13" xr:uid="{01146F83-EFF2-4E9E-A84D-8E9EEFA4E6C3}"/>
    <hyperlink ref="F80" r:id="rId14" xr:uid="{BDD7B396-A9C7-41DA-93FC-11D1F0390F47}"/>
  </hyperlinks>
  <pageMargins left="0.7" right="0.7" top="0.75" bottom="0.75" header="0.3" footer="0.3"/>
  <pageSetup paperSize="9" orientation="portrait" r:id="rId15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829-8FC1-43E6-9A79-D0E2EB43D031}">
  <sheetPr>
    <tabColor rgb="FFC00000"/>
  </sheetPr>
  <dimension ref="A1:AO85"/>
  <sheetViews>
    <sheetView showGridLines="0" showRowColHeaders="0" topLeftCell="A8" zoomScaleNormal="100" workbookViewId="0">
      <selection activeCell="E12" sqref="E12"/>
    </sheetView>
  </sheetViews>
  <sheetFormatPr defaultColWidth="9.109375" defaultRowHeight="25.05" customHeight="1" x14ac:dyDescent="0.3"/>
  <cols>
    <col min="1" max="1" width="1" style="1" customWidth="1"/>
    <col min="2" max="2" width="17.109375" style="1" customWidth="1"/>
    <col min="3" max="3" width="12.77734375" style="1" customWidth="1"/>
    <col min="4" max="4" width="8.77734375" style="1" customWidth="1"/>
    <col min="5" max="5" width="17.21875" style="1" customWidth="1"/>
    <col min="6" max="17" width="14.77734375" style="1" customWidth="1"/>
    <col min="18" max="20" width="14.77734375" style="2" customWidth="1"/>
    <col min="21" max="23" width="14.77734375" style="1" customWidth="1"/>
    <col min="24" max="25" width="23.77734375" style="1" customWidth="1"/>
    <col min="26" max="27" width="16.77734375" style="1" customWidth="1"/>
    <col min="28" max="29" width="26.77734375" style="1" customWidth="1"/>
    <col min="30" max="31" width="16.77734375" style="1" customWidth="1"/>
    <col min="32" max="33" width="26.77734375" style="1" customWidth="1"/>
    <col min="34" max="35" width="16.77734375" style="1" customWidth="1"/>
    <col min="36" max="37" width="26.77734375" style="1" customWidth="1"/>
    <col min="38" max="39" width="15.77734375" style="1" customWidth="1"/>
    <col min="40" max="41" width="23.77734375" style="1" customWidth="1"/>
    <col min="42" max="42" width="2.77734375" style="1" customWidth="1"/>
    <col min="43" max="43" width="26.5546875" style="1" bestFit="1" customWidth="1"/>
    <col min="44" max="44" width="34" style="1" customWidth="1"/>
    <col min="45" max="45" width="15.21875" style="1" customWidth="1"/>
    <col min="46" max="47" width="28.77734375" style="1" customWidth="1"/>
    <col min="48" max="48" width="30.6640625" style="1" bestFit="1" customWidth="1"/>
    <col min="49" max="16384" width="9.109375" style="1"/>
  </cols>
  <sheetData>
    <row r="1" spans="2:41" ht="4.95" customHeight="1" thickBot="1" x14ac:dyDescent="0.35"/>
    <row r="2" spans="2:41" ht="79.95" customHeight="1" thickTop="1" x14ac:dyDescent="0.3">
      <c r="B2" s="466"/>
      <c r="C2" s="467"/>
      <c r="D2" s="473" t="s">
        <v>140</v>
      </c>
      <c r="E2" s="474"/>
      <c r="F2" s="474"/>
      <c r="G2" s="474"/>
      <c r="H2" s="474"/>
      <c r="I2" s="474"/>
      <c r="J2" s="474"/>
      <c r="K2" s="474"/>
      <c r="L2" s="474"/>
      <c r="M2" s="474"/>
      <c r="N2" s="475"/>
    </row>
    <row r="3" spans="2:41" ht="37.950000000000003" customHeight="1" thickBot="1" x14ac:dyDescent="0.35">
      <c r="B3" s="468"/>
      <c r="C3" s="469"/>
      <c r="D3" s="476" t="s">
        <v>154</v>
      </c>
      <c r="E3" s="477"/>
      <c r="F3" s="477"/>
      <c r="G3" s="477"/>
      <c r="H3" s="477"/>
      <c r="I3" s="477"/>
      <c r="J3" s="477"/>
      <c r="K3" s="477"/>
      <c r="L3" s="477"/>
      <c r="M3" s="477"/>
      <c r="N3" s="478"/>
    </row>
    <row r="4" spans="2:41" ht="15" customHeight="1" thickTop="1" thickBot="1" x14ac:dyDescent="0.35">
      <c r="P4" s="3"/>
    </row>
    <row r="5" spans="2:41" ht="25.05" customHeight="1" thickTop="1" x14ac:dyDescent="0.3">
      <c r="B5" s="384" t="s">
        <v>17</v>
      </c>
      <c r="C5" s="385"/>
      <c r="D5" s="385"/>
      <c r="E5" s="385"/>
      <c r="F5" s="385"/>
      <c r="G5" s="103">
        <v>0.9</v>
      </c>
      <c r="H5" s="529"/>
      <c r="I5" s="394"/>
      <c r="J5" s="394"/>
      <c r="K5" s="394"/>
      <c r="L5" s="394"/>
      <c r="M5" s="394"/>
      <c r="N5" s="394"/>
      <c r="O5" s="395"/>
      <c r="P5" s="3">
        <v>0.8</v>
      </c>
    </row>
    <row r="6" spans="2:41" ht="25.05" customHeight="1" thickBot="1" x14ac:dyDescent="0.35">
      <c r="B6" s="387" t="s">
        <v>18</v>
      </c>
      <c r="C6" s="388"/>
      <c r="D6" s="388"/>
      <c r="E6" s="388"/>
      <c r="F6" s="388"/>
      <c r="G6" s="6">
        <f>1-IF(G5="",0.9,G5)</f>
        <v>9.9999999999999978E-2</v>
      </c>
      <c r="H6" s="396"/>
      <c r="I6" s="397"/>
      <c r="J6" s="397"/>
      <c r="K6" s="397"/>
      <c r="L6" s="397"/>
      <c r="M6" s="397"/>
      <c r="N6" s="397"/>
      <c r="O6" s="398"/>
      <c r="P6" s="3">
        <v>0.9</v>
      </c>
    </row>
    <row r="7" spans="2:41" ht="25.05" customHeight="1" x14ac:dyDescent="0.3">
      <c r="B7" s="387" t="str">
        <f>"Cumulative probability (quantile order, "&amp;IF(G5="","1 − α/2",SUBSTITUTE(ROUND(1-(1-G5)/2,4)&amp;"",",","."))&amp;")"</f>
        <v>Cumulative probability (quantile order, 0.95)</v>
      </c>
      <c r="C7" s="388"/>
      <c r="D7" s="388"/>
      <c r="E7" s="388"/>
      <c r="F7" s="388"/>
      <c r="G7" s="5">
        <f>1-G6/2</f>
        <v>0.95</v>
      </c>
      <c r="H7" s="402" t="s">
        <v>43</v>
      </c>
      <c r="I7" s="402"/>
      <c r="J7" s="402"/>
      <c r="K7" s="402"/>
      <c r="L7" s="402"/>
      <c r="M7" s="402"/>
      <c r="N7" s="402"/>
      <c r="O7" s="403"/>
      <c r="P7" s="3"/>
    </row>
    <row r="8" spans="2:41" ht="25.05" customHeight="1" thickBot="1" x14ac:dyDescent="0.35">
      <c r="B8" s="390" t="str" cm="1">
        <f t="array" ref="B8">"Standard normal quantile (critical value, z"&amp;IF(G5="","₁₋α/₂",_xlfn.LET(_xlpm.p,ROUND(1-(1-G5)/2,4),_xlpm.d,SUBSTITUTE(_xlpm.p&amp;"",",","."),_xlfn.TEXTJOIN("",1,IFERROR(_xlfn.UNICHAR(8320+MID(_xlpm.d,_xlfn.SEQUENCE(LEN(_xlpm.d)),1)),"."))))&amp;")"</f>
        <v>Standard normal quantile (critical value, z₀.₉₅)</v>
      </c>
      <c r="C8" s="391"/>
      <c r="D8" s="391"/>
      <c r="E8" s="391"/>
      <c r="F8" s="391"/>
      <c r="G8" s="29">
        <f>_xlfn.NORM.S.INV(G7)</f>
        <v>1.6448536269514715</v>
      </c>
      <c r="H8" s="399" t="str" cm="1">
        <f t="array" ref="H8">_xlfn.LET(_xlpm.cl,IF(G5="",0.9,G5),_xlpm.p,ROUND(1-(1-_xlpm.cl)/2,4),_xlpm.d,SUBSTITUTE(_xlpm.p&amp;"",",","."),_xlpm.sub,_xlfn.TEXTJOIN("",1,IFERROR(_xlfn.UNICHAR(8320+MID(_xlpm.d,_xlfn.SEQUENCE(LEN(_xlpm.d)),1)),".")),"where z"&amp;_xlpm.sub&amp;" = "&amp;SUBSTITUTE(FIXED(_xlfn.NORM.S.INV(_xlpm.p),4,TRUE)&amp;"",",",".")&amp;" is the standard normal quantile corresponding to a two-sided nominal coverage probability of "&amp;SUBSTITUTE(ROUND(_xlpm.cl*100,2)&amp;"",",",".")&amp;"%.")</f>
        <v>where z₀.₉₅ = 1.6449 is the standard normal quantile corresponding to a two-sided nominal coverage probability of 90%.</v>
      </c>
      <c r="I8" s="400"/>
      <c r="J8" s="400"/>
      <c r="K8" s="400"/>
      <c r="L8" s="400"/>
      <c r="M8" s="400"/>
      <c r="N8" s="400"/>
      <c r="O8" s="401"/>
      <c r="P8" s="4"/>
    </row>
    <row r="9" spans="2:41" ht="19.95" customHeight="1" thickTop="1" thickBot="1" x14ac:dyDescent="0.35"/>
    <row r="10" spans="2:41" ht="25.05" customHeight="1" thickTop="1" x14ac:dyDescent="0.3">
      <c r="B10" s="380" t="s">
        <v>27</v>
      </c>
      <c r="C10" s="382" t="s">
        <v>144</v>
      </c>
      <c r="D10" s="442" t="s">
        <v>109</v>
      </c>
      <c r="E10" s="382" t="s">
        <v>44</v>
      </c>
      <c r="F10" s="406" t="s">
        <v>135</v>
      </c>
      <c r="G10" s="407"/>
      <c r="H10" s="382" t="s">
        <v>19</v>
      </c>
      <c r="I10" s="382" t="s">
        <v>20</v>
      </c>
      <c r="J10" s="382" t="s">
        <v>168</v>
      </c>
      <c r="K10" s="404" t="s">
        <v>21</v>
      </c>
      <c r="L10" s="382" t="s">
        <v>14</v>
      </c>
      <c r="M10" s="382" t="s">
        <v>15</v>
      </c>
      <c r="N10" s="382" t="s">
        <v>24</v>
      </c>
      <c r="O10" s="423" t="s">
        <v>23</v>
      </c>
      <c r="P10" s="419" t="s">
        <v>26</v>
      </c>
      <c r="Q10" s="442"/>
      <c r="R10" s="382" t="s">
        <v>25</v>
      </c>
      <c r="S10" s="423" t="s">
        <v>22</v>
      </c>
      <c r="T10" s="419" t="s">
        <v>81</v>
      </c>
      <c r="U10" s="420"/>
      <c r="V10" s="411" t="s">
        <v>28</v>
      </c>
      <c r="W10" s="412"/>
      <c r="X10" s="88" t="s">
        <v>30</v>
      </c>
      <c r="Y10" s="89" t="s">
        <v>251</v>
      </c>
      <c r="Z10" s="411" t="s">
        <v>32</v>
      </c>
      <c r="AA10" s="412"/>
      <c r="AB10" s="88" t="s">
        <v>34</v>
      </c>
      <c r="AC10" s="89" t="s">
        <v>36</v>
      </c>
      <c r="AD10" s="411" t="s">
        <v>31</v>
      </c>
      <c r="AE10" s="412"/>
      <c r="AF10" s="88" t="s">
        <v>38</v>
      </c>
      <c r="AG10" s="89" t="s">
        <v>39</v>
      </c>
      <c r="AH10" s="411" t="s">
        <v>40</v>
      </c>
      <c r="AI10" s="412"/>
      <c r="AJ10" s="88" t="s">
        <v>41</v>
      </c>
      <c r="AK10" s="89" t="s">
        <v>42</v>
      </c>
      <c r="AL10" s="411" t="s">
        <v>33</v>
      </c>
      <c r="AM10" s="412"/>
      <c r="AN10" s="88" t="s">
        <v>35</v>
      </c>
      <c r="AO10" s="89" t="s">
        <v>37</v>
      </c>
    </row>
    <row r="11" spans="2:41" ht="25.05" customHeight="1" x14ac:dyDescent="0.3">
      <c r="B11" s="381"/>
      <c r="C11" s="383"/>
      <c r="D11" s="443"/>
      <c r="E11" s="383"/>
      <c r="F11" s="31" t="s">
        <v>0</v>
      </c>
      <c r="G11" s="31" t="s">
        <v>1</v>
      </c>
      <c r="H11" s="383"/>
      <c r="I11" s="383"/>
      <c r="J11" s="383"/>
      <c r="K11" s="405"/>
      <c r="L11" s="383"/>
      <c r="M11" s="383"/>
      <c r="N11" s="383"/>
      <c r="O11" s="424"/>
      <c r="P11" s="421"/>
      <c r="Q11" s="443"/>
      <c r="R11" s="383"/>
      <c r="S11" s="424"/>
      <c r="T11" s="421"/>
      <c r="U11" s="422"/>
      <c r="V11" s="90" t="s">
        <v>0</v>
      </c>
      <c r="W11" s="91" t="s">
        <v>1</v>
      </c>
      <c r="X11" s="91" t="s">
        <v>29</v>
      </c>
      <c r="Y11" s="92" t="s">
        <v>29</v>
      </c>
      <c r="Z11" s="90" t="s">
        <v>0</v>
      </c>
      <c r="AA11" s="91" t="s">
        <v>1</v>
      </c>
      <c r="AB11" s="91" t="s">
        <v>29</v>
      </c>
      <c r="AC11" s="92" t="s">
        <v>29</v>
      </c>
      <c r="AD11" s="90" t="s">
        <v>0</v>
      </c>
      <c r="AE11" s="91" t="s">
        <v>1</v>
      </c>
      <c r="AF11" s="91" t="s">
        <v>29</v>
      </c>
      <c r="AG11" s="92" t="s">
        <v>29</v>
      </c>
      <c r="AH11" s="90" t="s">
        <v>0</v>
      </c>
      <c r="AI11" s="91" t="s">
        <v>1</v>
      </c>
      <c r="AJ11" s="91" t="s">
        <v>29</v>
      </c>
      <c r="AK11" s="92" t="s">
        <v>29</v>
      </c>
      <c r="AL11" s="90" t="s">
        <v>0</v>
      </c>
      <c r="AM11" s="91" t="s">
        <v>1</v>
      </c>
      <c r="AN11" s="91" t="s">
        <v>29</v>
      </c>
      <c r="AO11" s="92" t="s">
        <v>29</v>
      </c>
    </row>
    <row r="12" spans="2:41" ht="25.05" customHeight="1" x14ac:dyDescent="0.3">
      <c r="B12" s="34" t="s">
        <v>106</v>
      </c>
      <c r="C12" s="46" t="s">
        <v>151</v>
      </c>
      <c r="D12" s="42">
        <v>500</v>
      </c>
      <c r="E12" s="24">
        <v>1</v>
      </c>
      <c r="F12" s="24">
        <v>10.199999999999999</v>
      </c>
      <c r="G12" s="24">
        <v>29.8</v>
      </c>
      <c r="H12" s="28">
        <f t="shared" ref="H12:H26" si="0">IFERROR(SQRT(EXP(((LN(G12)-LN(IF(OR(F12="",F12=0),IF(G12="","",0.15*G12),F12)))/3.92)^2)-1),"")</f>
        <v>0.27869539215098116</v>
      </c>
      <c r="I12" s="7">
        <f t="shared" ref="I12:I26" si="1">IFERROR(((SQRT(H12*100-0.25))/100),"")</f>
        <v>5.2554294986326397E-2</v>
      </c>
      <c r="J12" s="8">
        <f t="shared" ref="J12:J26" si="2">IFERROR(EXP((IF(OR(F12="",F12=0),LN(G12*0.15),LN(F12))+LN(G12))/2),"")</f>
        <v>17.434448657758001</v>
      </c>
      <c r="K12" s="8">
        <f t="shared" ref="K12:K26" si="3">IFERROR(I12*J12,"")</f>
        <v>0.9162551576837763</v>
      </c>
      <c r="L12" s="9">
        <f t="shared" ref="L12:L26" si="4">IFERROR((K12-0.2*K12)/J12,"")</f>
        <v>4.2043435989061122E-2</v>
      </c>
      <c r="M12" s="9">
        <f t="shared" ref="M12:M26" si="5">IFERROR(0.2*K12,"")</f>
        <v>0.18325103153675526</v>
      </c>
      <c r="N12" s="8">
        <f t="shared" ref="N12:N26" si="6">IFERROR(IF(F12="","",F12*L12+M12),"")</f>
        <v>0.61209407862517873</v>
      </c>
      <c r="O12" s="8">
        <f t="shared" ref="O12:O26" si="7">IFERROR($G$8*N12,"")</f>
        <v>1.0068051652621444</v>
      </c>
      <c r="P12" s="378" t="str">
        <f t="shared" ref="P12:P26" si="8">IFERROR(CONCATENATE(ROUND(F12-O12,IF(E12="",3,E12))," to ",ROUND(F12+O12,IF(E12="",3,E12))),"")</f>
        <v>9,2 to 11,2</v>
      </c>
      <c r="Q12" s="379"/>
      <c r="R12" s="8">
        <f t="shared" ref="R12:R26" si="9">IFERROR(IF(G12="","",G12*L12+M12),"")</f>
        <v>1.4361454240107767</v>
      </c>
      <c r="S12" s="8">
        <f t="shared" ref="S12:S26" si="10">IFERROR($G$8*R12,"")</f>
        <v>2.3622490095138851</v>
      </c>
      <c r="T12" s="523" t="str">
        <f t="shared" ref="T12:T26" si="11">IFERROR(CONCATENATE(ROUND(G12-S12,IF(E12="",3,E12))," to ",ROUND(G12+S12,IF(E12="",3,E12))),"")</f>
        <v>27,4 to 32,2</v>
      </c>
      <c r="U12" s="524"/>
      <c r="V12" s="104">
        <v>12.1</v>
      </c>
      <c r="W12" s="105">
        <v>32.700000000000003</v>
      </c>
      <c r="X12" s="10">
        <f t="shared" ref="X12:X26" si="12">IF(OR($F12="",$V12=""),"",IF(AND(ROUND($V12,IF($E12="",3,$E12))&gt;=ROUND($F12-$O12,IF($E12="",3,$E12)),ROUND($V12,IF($E12="",3,$E12))&lt;=ROUND($F12+$O12,IF($E12="",3,$E12))),1,0))</f>
        <v>0</v>
      </c>
      <c r="Y12" s="12">
        <f t="shared" ref="Y12:Y26" si="13">IF(OR($G12="",$W12=""),"",IF(AND(ROUND($W12,IF($E12="",3,$E12))&gt;=ROUND($G12-$S12,IF($E12="",3,$E12)),ROUND($W12,IF($E12="",3,$E12))&lt;=ROUND($G12+$S12,IF($E12="",3,$E12))),1,0))</f>
        <v>0</v>
      </c>
      <c r="Z12" s="104">
        <v>11</v>
      </c>
      <c r="AA12" s="105">
        <v>31.2</v>
      </c>
      <c r="AB12" s="10">
        <f t="shared" ref="AB12:AB26" si="14">IF(OR($F12="",$Z12=""),"",IF(AND(ROUND($Z12,IF($E12="",3,$E12))&gt;=ROUND($F12-$O12,IF($E12="",3,$E12)),ROUND($Z12,IF($E12="",3,$E12))&lt;=ROUND($F12+$O12,IF($E12="",3,$E12))),1,0))</f>
        <v>1</v>
      </c>
      <c r="AC12" s="12">
        <f t="shared" ref="AC12:AC26" si="15">IF(OR($G12="",$AA12=""),"",IF(AND(ROUND($AA12,IF($E12="",3,$E12))&gt;=ROUND($G12-$S12,IF($E12="",3,$E12)),ROUND($AA12,IF($E12="",3,$E12))&lt;=ROUND($G12+$S12,IF($E12="",3,$E12))),1,0))</f>
        <v>1</v>
      </c>
      <c r="AD12" s="104">
        <v>10.4</v>
      </c>
      <c r="AE12" s="105">
        <v>30.3</v>
      </c>
      <c r="AF12" s="10">
        <f t="shared" ref="AF12:AF26" si="16">IF(OR($F12="",$AD12=""),"",IF(AND(ROUND($AD12,IF($E12="",3,$E12))&gt;=ROUND($F12-$O12,IF($E12="",3,$E12)),ROUND($AD12,IF($E12="",3,$E12))&lt;=ROUND($F12+$O12,IF($E12="",3,$E12))),1,0))</f>
        <v>1</v>
      </c>
      <c r="AG12" s="12">
        <f t="shared" ref="AG12:AG26" si="17">IF(OR($G12="",$AE12=""),"",IF(AND(ROUND($AE12,IF($E12="",3,$E12))&gt;=ROUND($G12-$S12,IF($E12="",3,$E12)),ROUND($AE12,IF($E12="",3,$E12))&lt;=ROUND($G12+$S12,IF($E12="",3,$E12))),1,0))</f>
        <v>1</v>
      </c>
      <c r="AH12" s="104">
        <v>11.2</v>
      </c>
      <c r="AI12" s="105">
        <v>29.9</v>
      </c>
      <c r="AJ12" s="10">
        <f t="shared" ref="AJ12:AJ26" si="18">IF(OR($F12="",$AH12=""),"",IF(AND(ROUND($AH12,IF($E12="",3,$E12))&gt;=ROUND($F12-$O12,IF($E12="",3,$E12)),ROUND($AH12,IF($E12="",3,$E12))&lt;=ROUND($F12+$O12,IF($E12="",3,$E12))),1,0))</f>
        <v>1</v>
      </c>
      <c r="AK12" s="12">
        <f t="shared" ref="AK12:AK26" si="19">IF(OR($G12="",$AI12=""),"",IF(AND(ROUND($AI12,IF($E12="",3,$E12))&gt;=ROUND($G12-$S12,IF($E12="",3,$E12)),ROUND($AI12,IF($E12="",3,$E12))&lt;=ROUND($G12+$S12,IF($E12="",3,$E12))),1,0))</f>
        <v>1</v>
      </c>
      <c r="AL12" s="104">
        <v>10.8</v>
      </c>
      <c r="AM12" s="105">
        <v>30</v>
      </c>
      <c r="AN12" s="10">
        <f t="shared" ref="AN12:AN26" si="20">IF(OR($F12="",$AL12=""),"",IF(AND(ROUND($AL12,IF($E12="",3,$E12))&gt;=ROUND($F12-$O12,IF($E12="",3,$E12)),ROUND($AL12,IF($E12="",3,$E12))&lt;=ROUND($F12+$O12,IF($E12="",3,$E12))),1,0))</f>
        <v>1</v>
      </c>
      <c r="AO12" s="12">
        <f t="shared" ref="AO12:AO26" si="21">IF(OR($G12="",$AM12=""),"",IF(AND(ROUND($AM12,IF($E12="",3,$E12))&gt;=ROUND($G12-$S12,IF($E12="",3,$E12)),ROUND($AM12,IF($E12="",3,$E12))&lt;=ROUND($G12+$S12,IF($E12="",3,$E12))),1,0))</f>
        <v>1</v>
      </c>
    </row>
    <row r="13" spans="2:41" ht="25.05" customHeight="1" x14ac:dyDescent="0.3">
      <c r="B13" s="35" t="s">
        <v>106</v>
      </c>
      <c r="C13" s="47" t="s">
        <v>151</v>
      </c>
      <c r="D13" s="43">
        <v>1000</v>
      </c>
      <c r="E13" s="25">
        <v>1</v>
      </c>
      <c r="F13" s="25">
        <v>10.199999999999999</v>
      </c>
      <c r="G13" s="25">
        <v>29.8</v>
      </c>
      <c r="H13" s="28">
        <f t="shared" si="0"/>
        <v>0.27869539215098116</v>
      </c>
      <c r="I13" s="7">
        <f t="shared" si="1"/>
        <v>5.2554294986326397E-2</v>
      </c>
      <c r="J13" s="8">
        <f t="shared" si="2"/>
        <v>17.434448657758001</v>
      </c>
      <c r="K13" s="8">
        <f t="shared" si="3"/>
        <v>0.9162551576837763</v>
      </c>
      <c r="L13" s="9">
        <f t="shared" si="4"/>
        <v>4.2043435989061122E-2</v>
      </c>
      <c r="M13" s="9">
        <f t="shared" si="5"/>
        <v>0.18325103153675526</v>
      </c>
      <c r="N13" s="8">
        <f t="shared" si="6"/>
        <v>0.61209407862517873</v>
      </c>
      <c r="O13" s="8">
        <f t="shared" si="7"/>
        <v>1.0068051652621444</v>
      </c>
      <c r="P13" s="378" t="str">
        <f t="shared" si="8"/>
        <v>9,2 to 11,2</v>
      </c>
      <c r="Q13" s="379"/>
      <c r="R13" s="8">
        <f t="shared" si="9"/>
        <v>1.4361454240107767</v>
      </c>
      <c r="S13" s="8">
        <f t="shared" si="10"/>
        <v>2.3622490095138851</v>
      </c>
      <c r="T13" s="523" t="str">
        <f t="shared" si="11"/>
        <v>27,4 to 32,2</v>
      </c>
      <c r="U13" s="524"/>
      <c r="V13" s="106">
        <v>11.3</v>
      </c>
      <c r="W13" s="107">
        <v>30.6</v>
      </c>
      <c r="X13" s="13">
        <f t="shared" si="12"/>
        <v>0</v>
      </c>
      <c r="Y13" s="14">
        <f t="shared" si="13"/>
        <v>1</v>
      </c>
      <c r="Z13" s="106">
        <v>11.5</v>
      </c>
      <c r="AA13" s="107">
        <v>30.9</v>
      </c>
      <c r="AB13" s="13">
        <f t="shared" si="14"/>
        <v>0</v>
      </c>
      <c r="AC13" s="14">
        <f t="shared" si="15"/>
        <v>1</v>
      </c>
      <c r="AD13" s="106">
        <v>10.5</v>
      </c>
      <c r="AE13" s="107">
        <v>29.7</v>
      </c>
      <c r="AF13" s="13">
        <f t="shared" si="16"/>
        <v>1</v>
      </c>
      <c r="AG13" s="14">
        <f t="shared" si="17"/>
        <v>1</v>
      </c>
      <c r="AH13" s="106">
        <v>12.1</v>
      </c>
      <c r="AI13" s="107">
        <v>36.799999999999997</v>
      </c>
      <c r="AJ13" s="13">
        <f t="shared" si="18"/>
        <v>0</v>
      </c>
      <c r="AK13" s="14">
        <f t="shared" si="19"/>
        <v>0</v>
      </c>
      <c r="AL13" s="106">
        <v>10.8</v>
      </c>
      <c r="AM13" s="107">
        <v>29.2</v>
      </c>
      <c r="AN13" s="13">
        <f t="shared" si="20"/>
        <v>1</v>
      </c>
      <c r="AO13" s="14">
        <f t="shared" si="21"/>
        <v>1</v>
      </c>
    </row>
    <row r="14" spans="2:41" ht="25.05" customHeight="1" x14ac:dyDescent="0.3">
      <c r="B14" s="36" t="s">
        <v>106</v>
      </c>
      <c r="C14" s="48" t="s">
        <v>151</v>
      </c>
      <c r="D14" s="44">
        <v>2000</v>
      </c>
      <c r="E14" s="26">
        <v>1</v>
      </c>
      <c r="F14" s="26">
        <v>10.199999999999999</v>
      </c>
      <c r="G14" s="26">
        <v>29.8</v>
      </c>
      <c r="H14" s="28">
        <f t="shared" si="0"/>
        <v>0.27869539215098116</v>
      </c>
      <c r="I14" s="7">
        <f t="shared" si="1"/>
        <v>5.2554294986326397E-2</v>
      </c>
      <c r="J14" s="8">
        <f t="shared" si="2"/>
        <v>17.434448657758001</v>
      </c>
      <c r="K14" s="8">
        <f t="shared" si="3"/>
        <v>0.9162551576837763</v>
      </c>
      <c r="L14" s="9">
        <f t="shared" si="4"/>
        <v>4.2043435989061122E-2</v>
      </c>
      <c r="M14" s="9">
        <f t="shared" si="5"/>
        <v>0.18325103153675526</v>
      </c>
      <c r="N14" s="8">
        <f t="shared" si="6"/>
        <v>0.61209407862517873</v>
      </c>
      <c r="O14" s="8">
        <f t="shared" si="7"/>
        <v>1.0068051652621444</v>
      </c>
      <c r="P14" s="378" t="str">
        <f t="shared" si="8"/>
        <v>9,2 to 11,2</v>
      </c>
      <c r="Q14" s="379"/>
      <c r="R14" s="8">
        <f t="shared" si="9"/>
        <v>1.4361454240107767</v>
      </c>
      <c r="S14" s="8">
        <f t="shared" si="10"/>
        <v>2.3622490095138851</v>
      </c>
      <c r="T14" s="523" t="str">
        <f t="shared" si="11"/>
        <v>27,4 to 32,2</v>
      </c>
      <c r="U14" s="524"/>
      <c r="V14" s="108">
        <v>10.3</v>
      </c>
      <c r="W14" s="107">
        <v>29.8</v>
      </c>
      <c r="X14" s="15">
        <f t="shared" si="12"/>
        <v>1</v>
      </c>
      <c r="Y14" s="14">
        <f t="shared" si="13"/>
        <v>1</v>
      </c>
      <c r="Z14" s="108">
        <v>11.1</v>
      </c>
      <c r="AA14" s="107">
        <v>30.2</v>
      </c>
      <c r="AB14" s="15">
        <f t="shared" si="14"/>
        <v>1</v>
      </c>
      <c r="AC14" s="14">
        <f t="shared" si="15"/>
        <v>1</v>
      </c>
      <c r="AD14" s="108">
        <v>10.6</v>
      </c>
      <c r="AE14" s="107">
        <v>29.7</v>
      </c>
      <c r="AF14" s="15">
        <f t="shared" si="16"/>
        <v>1</v>
      </c>
      <c r="AG14" s="14">
        <f t="shared" si="17"/>
        <v>1</v>
      </c>
      <c r="AH14" s="108">
        <v>12.5</v>
      </c>
      <c r="AI14" s="107">
        <v>34.700000000000003</v>
      </c>
      <c r="AJ14" s="15">
        <f t="shared" si="18"/>
        <v>0</v>
      </c>
      <c r="AK14" s="14">
        <f t="shared" si="19"/>
        <v>0</v>
      </c>
      <c r="AL14" s="108">
        <v>10.8</v>
      </c>
      <c r="AM14" s="107">
        <v>28.6</v>
      </c>
      <c r="AN14" s="15">
        <f t="shared" si="20"/>
        <v>1</v>
      </c>
      <c r="AO14" s="14">
        <f t="shared" si="21"/>
        <v>1</v>
      </c>
    </row>
    <row r="15" spans="2:41" ht="25.05" customHeight="1" x14ac:dyDescent="0.3">
      <c r="B15" s="35" t="s">
        <v>106</v>
      </c>
      <c r="C15" s="48" t="s">
        <v>151</v>
      </c>
      <c r="D15" s="44">
        <v>5000</v>
      </c>
      <c r="E15" s="25">
        <v>1</v>
      </c>
      <c r="F15" s="25">
        <v>10.199999999999999</v>
      </c>
      <c r="G15" s="25">
        <v>29.8</v>
      </c>
      <c r="H15" s="28">
        <f t="shared" si="0"/>
        <v>0.27869539215098116</v>
      </c>
      <c r="I15" s="7">
        <f t="shared" si="1"/>
        <v>5.2554294986326397E-2</v>
      </c>
      <c r="J15" s="8">
        <f t="shared" si="2"/>
        <v>17.434448657758001</v>
      </c>
      <c r="K15" s="8">
        <f t="shared" si="3"/>
        <v>0.9162551576837763</v>
      </c>
      <c r="L15" s="9">
        <f t="shared" si="4"/>
        <v>4.2043435989061122E-2</v>
      </c>
      <c r="M15" s="9">
        <f t="shared" si="5"/>
        <v>0.18325103153675526</v>
      </c>
      <c r="N15" s="8">
        <f t="shared" si="6"/>
        <v>0.61209407862517873</v>
      </c>
      <c r="O15" s="8">
        <f t="shared" si="7"/>
        <v>1.0068051652621444</v>
      </c>
      <c r="P15" s="378" t="str">
        <f t="shared" si="8"/>
        <v>9,2 to 11,2</v>
      </c>
      <c r="Q15" s="379"/>
      <c r="R15" s="8">
        <f t="shared" si="9"/>
        <v>1.4361454240107767</v>
      </c>
      <c r="S15" s="8">
        <f t="shared" si="10"/>
        <v>2.3622490095138851</v>
      </c>
      <c r="T15" s="523" t="str">
        <f t="shared" si="11"/>
        <v>27,4 to 32,2</v>
      </c>
      <c r="U15" s="524"/>
      <c r="V15" s="106">
        <v>10.9</v>
      </c>
      <c r="W15" s="109">
        <v>30.6</v>
      </c>
      <c r="X15" s="16">
        <f t="shared" si="12"/>
        <v>1</v>
      </c>
      <c r="Y15" s="14">
        <f t="shared" si="13"/>
        <v>1</v>
      </c>
      <c r="Z15" s="106">
        <v>10.199999999999999</v>
      </c>
      <c r="AA15" s="109">
        <v>29.7</v>
      </c>
      <c r="AB15" s="16">
        <f t="shared" si="14"/>
        <v>1</v>
      </c>
      <c r="AC15" s="14">
        <f t="shared" si="15"/>
        <v>1</v>
      </c>
      <c r="AD15" s="106">
        <v>10.4</v>
      </c>
      <c r="AE15" s="109">
        <v>29.8</v>
      </c>
      <c r="AF15" s="16">
        <f t="shared" si="16"/>
        <v>1</v>
      </c>
      <c r="AG15" s="14">
        <f t="shared" si="17"/>
        <v>1</v>
      </c>
      <c r="AH15" s="106">
        <v>11.9</v>
      </c>
      <c r="AI15" s="109">
        <v>38.200000000000003</v>
      </c>
      <c r="AJ15" s="16">
        <f t="shared" si="18"/>
        <v>0</v>
      </c>
      <c r="AK15" s="14">
        <f t="shared" si="19"/>
        <v>0</v>
      </c>
      <c r="AL15" s="106">
        <v>10.3</v>
      </c>
      <c r="AM15" s="109">
        <v>29.6</v>
      </c>
      <c r="AN15" s="16">
        <f t="shared" si="20"/>
        <v>1</v>
      </c>
      <c r="AO15" s="14">
        <f t="shared" si="21"/>
        <v>1</v>
      </c>
    </row>
    <row r="16" spans="2:41" ht="25.05" customHeight="1" x14ac:dyDescent="0.3">
      <c r="B16" s="37" t="s">
        <v>106</v>
      </c>
      <c r="C16" s="48" t="s">
        <v>151</v>
      </c>
      <c r="D16" s="44">
        <v>10000</v>
      </c>
      <c r="E16" s="27">
        <v>1</v>
      </c>
      <c r="F16" s="27">
        <v>10.199999999999999</v>
      </c>
      <c r="G16" s="27">
        <v>29.8</v>
      </c>
      <c r="H16" s="28">
        <f t="shared" si="0"/>
        <v>0.27869539215098116</v>
      </c>
      <c r="I16" s="7">
        <f t="shared" si="1"/>
        <v>5.2554294986326397E-2</v>
      </c>
      <c r="J16" s="8">
        <f t="shared" si="2"/>
        <v>17.434448657758001</v>
      </c>
      <c r="K16" s="8">
        <f t="shared" si="3"/>
        <v>0.9162551576837763</v>
      </c>
      <c r="L16" s="9">
        <f t="shared" si="4"/>
        <v>4.2043435989061122E-2</v>
      </c>
      <c r="M16" s="9">
        <f t="shared" si="5"/>
        <v>0.18325103153675526</v>
      </c>
      <c r="N16" s="8">
        <f t="shared" si="6"/>
        <v>0.61209407862517873</v>
      </c>
      <c r="O16" s="8">
        <f t="shared" si="7"/>
        <v>1.0068051652621444</v>
      </c>
      <c r="P16" s="378" t="str">
        <f t="shared" si="8"/>
        <v>9,2 to 11,2</v>
      </c>
      <c r="Q16" s="379"/>
      <c r="R16" s="8">
        <f t="shared" si="9"/>
        <v>1.4361454240107767</v>
      </c>
      <c r="S16" s="8">
        <f t="shared" si="10"/>
        <v>2.3622490095138851</v>
      </c>
      <c r="T16" s="523" t="str">
        <f t="shared" si="11"/>
        <v>27,4 to 32,2</v>
      </c>
      <c r="U16" s="524"/>
      <c r="V16" s="106">
        <v>13</v>
      </c>
      <c r="W16" s="110">
        <v>31.6</v>
      </c>
      <c r="X16" s="13">
        <f t="shared" si="12"/>
        <v>0</v>
      </c>
      <c r="Y16" s="18">
        <f t="shared" si="13"/>
        <v>1</v>
      </c>
      <c r="Z16" s="106">
        <v>10.3</v>
      </c>
      <c r="AA16" s="110">
        <v>29.9</v>
      </c>
      <c r="AB16" s="13">
        <f t="shared" si="14"/>
        <v>1</v>
      </c>
      <c r="AC16" s="18">
        <f t="shared" si="15"/>
        <v>1</v>
      </c>
      <c r="AD16" s="106">
        <v>10.3</v>
      </c>
      <c r="AE16" s="110">
        <v>29.8</v>
      </c>
      <c r="AF16" s="13">
        <f t="shared" si="16"/>
        <v>1</v>
      </c>
      <c r="AG16" s="18">
        <f t="shared" si="17"/>
        <v>1</v>
      </c>
      <c r="AH16" s="106">
        <v>12</v>
      </c>
      <c r="AI16" s="110">
        <v>37.799999999999997</v>
      </c>
      <c r="AJ16" s="13">
        <f t="shared" si="18"/>
        <v>0</v>
      </c>
      <c r="AK16" s="18">
        <f t="shared" si="19"/>
        <v>0</v>
      </c>
      <c r="AL16" s="106">
        <v>10.4</v>
      </c>
      <c r="AM16" s="110">
        <v>29.5</v>
      </c>
      <c r="AN16" s="13">
        <f t="shared" si="20"/>
        <v>1</v>
      </c>
      <c r="AO16" s="18">
        <f t="shared" si="21"/>
        <v>1</v>
      </c>
    </row>
    <row r="17" spans="1:41" ht="25.05" customHeight="1" x14ac:dyDescent="0.3">
      <c r="B17" s="36" t="s">
        <v>107</v>
      </c>
      <c r="C17" s="48" t="s">
        <v>151</v>
      </c>
      <c r="D17" s="44">
        <v>500</v>
      </c>
      <c r="E17" s="26">
        <v>1</v>
      </c>
      <c r="F17" s="26">
        <v>59.8</v>
      </c>
      <c r="G17" s="26">
        <v>160</v>
      </c>
      <c r="H17" s="28">
        <f t="shared" si="0"/>
        <v>0.25507205751159062</v>
      </c>
      <c r="I17" s="7">
        <f t="shared" si="1"/>
        <v>5.0256547584527793E-2</v>
      </c>
      <c r="J17" s="8">
        <f t="shared" si="2"/>
        <v>97.816154085099868</v>
      </c>
      <c r="K17" s="8">
        <f t="shared" si="3"/>
        <v>4.9159022023133243</v>
      </c>
      <c r="L17" s="9">
        <f t="shared" si="4"/>
        <v>4.0205238067622232E-2</v>
      </c>
      <c r="M17" s="9">
        <f t="shared" si="5"/>
        <v>0.98318044046266495</v>
      </c>
      <c r="N17" s="8">
        <f t="shared" si="6"/>
        <v>3.3874536769064743</v>
      </c>
      <c r="O17" s="8">
        <f t="shared" si="7"/>
        <v>5.5718654665897125</v>
      </c>
      <c r="P17" s="378" t="str">
        <f t="shared" si="8"/>
        <v>54,2 to 65,4</v>
      </c>
      <c r="Q17" s="379"/>
      <c r="R17" s="8">
        <f t="shared" si="9"/>
        <v>7.4160185312822211</v>
      </c>
      <c r="S17" s="8">
        <f t="shared" si="10"/>
        <v>12.198264978718885</v>
      </c>
      <c r="T17" s="523" t="str">
        <f t="shared" si="11"/>
        <v>147,8 to 172,2</v>
      </c>
      <c r="U17" s="524"/>
      <c r="V17" s="106">
        <v>46.7</v>
      </c>
      <c r="W17" s="109">
        <v>161</v>
      </c>
      <c r="X17" s="15">
        <f t="shared" si="12"/>
        <v>0</v>
      </c>
      <c r="Y17" s="19">
        <f t="shared" si="13"/>
        <v>1</v>
      </c>
      <c r="Z17" s="106">
        <v>40</v>
      </c>
      <c r="AA17" s="109">
        <v>168</v>
      </c>
      <c r="AB17" s="15">
        <f t="shared" si="14"/>
        <v>0</v>
      </c>
      <c r="AC17" s="19">
        <f t="shared" si="15"/>
        <v>1</v>
      </c>
      <c r="AD17" s="106">
        <v>52.1</v>
      </c>
      <c r="AE17" s="109">
        <v>183</v>
      </c>
      <c r="AF17" s="15">
        <f t="shared" si="16"/>
        <v>0</v>
      </c>
      <c r="AG17" s="19">
        <f t="shared" si="17"/>
        <v>0</v>
      </c>
      <c r="AH17" s="106">
        <v>54</v>
      </c>
      <c r="AI17" s="109">
        <v>180</v>
      </c>
      <c r="AJ17" s="15">
        <f t="shared" si="18"/>
        <v>0</v>
      </c>
      <c r="AK17" s="19">
        <f t="shared" si="19"/>
        <v>0</v>
      </c>
      <c r="AL17" s="106">
        <v>56</v>
      </c>
      <c r="AM17" s="109">
        <v>174.8</v>
      </c>
      <c r="AN17" s="15">
        <f t="shared" si="20"/>
        <v>1</v>
      </c>
      <c r="AO17" s="19">
        <f t="shared" si="21"/>
        <v>0</v>
      </c>
    </row>
    <row r="18" spans="1:41" ht="25.05" customHeight="1" x14ac:dyDescent="0.3">
      <c r="B18" s="37" t="s">
        <v>107</v>
      </c>
      <c r="C18" s="48" t="s">
        <v>151</v>
      </c>
      <c r="D18" s="44">
        <v>1000</v>
      </c>
      <c r="E18" s="25">
        <v>1</v>
      </c>
      <c r="F18" s="26">
        <v>59.8</v>
      </c>
      <c r="G18" s="26">
        <v>160</v>
      </c>
      <c r="H18" s="28">
        <f t="shared" si="0"/>
        <v>0.25507205751159062</v>
      </c>
      <c r="I18" s="7">
        <f t="shared" si="1"/>
        <v>5.0256547584527793E-2</v>
      </c>
      <c r="J18" s="8">
        <f t="shared" si="2"/>
        <v>97.816154085099868</v>
      </c>
      <c r="K18" s="8">
        <f t="shared" si="3"/>
        <v>4.9159022023133243</v>
      </c>
      <c r="L18" s="9">
        <f t="shared" si="4"/>
        <v>4.0205238067622232E-2</v>
      </c>
      <c r="M18" s="9">
        <f t="shared" si="5"/>
        <v>0.98318044046266495</v>
      </c>
      <c r="N18" s="8">
        <f t="shared" si="6"/>
        <v>3.3874536769064743</v>
      </c>
      <c r="O18" s="8">
        <f t="shared" si="7"/>
        <v>5.5718654665897125</v>
      </c>
      <c r="P18" s="378" t="str">
        <f t="shared" si="8"/>
        <v>54,2 to 65,4</v>
      </c>
      <c r="Q18" s="379"/>
      <c r="R18" s="8">
        <f t="shared" si="9"/>
        <v>7.4160185312822211</v>
      </c>
      <c r="S18" s="8">
        <f t="shared" si="10"/>
        <v>12.198264978718885</v>
      </c>
      <c r="T18" s="523" t="str">
        <f t="shared" si="11"/>
        <v>147,8 to 172,2</v>
      </c>
      <c r="U18" s="524"/>
      <c r="V18" s="108">
        <v>44.9</v>
      </c>
      <c r="W18" s="110">
        <v>148</v>
      </c>
      <c r="X18" s="16">
        <f t="shared" si="12"/>
        <v>0</v>
      </c>
      <c r="Y18" s="14">
        <f t="shared" si="13"/>
        <v>1</v>
      </c>
      <c r="Z18" s="108">
        <v>36.799999999999997</v>
      </c>
      <c r="AA18" s="110">
        <v>158</v>
      </c>
      <c r="AB18" s="16">
        <f t="shared" si="14"/>
        <v>0</v>
      </c>
      <c r="AC18" s="14">
        <f t="shared" si="15"/>
        <v>1</v>
      </c>
      <c r="AD18" s="108">
        <v>45.8</v>
      </c>
      <c r="AE18" s="110">
        <v>172</v>
      </c>
      <c r="AF18" s="16">
        <f t="shared" si="16"/>
        <v>0</v>
      </c>
      <c r="AG18" s="14">
        <f t="shared" si="17"/>
        <v>1</v>
      </c>
      <c r="AH18" s="108">
        <v>60</v>
      </c>
      <c r="AI18" s="110">
        <v>162</v>
      </c>
      <c r="AJ18" s="16">
        <f t="shared" si="18"/>
        <v>1</v>
      </c>
      <c r="AK18" s="14">
        <f t="shared" si="19"/>
        <v>1</v>
      </c>
      <c r="AL18" s="108">
        <v>62.9</v>
      </c>
      <c r="AM18" s="110">
        <v>162.1</v>
      </c>
      <c r="AN18" s="16">
        <f t="shared" si="20"/>
        <v>1</v>
      </c>
      <c r="AO18" s="14">
        <f t="shared" si="21"/>
        <v>1</v>
      </c>
    </row>
    <row r="19" spans="1:41" ht="25.05" customHeight="1" x14ac:dyDescent="0.3">
      <c r="B19" s="36" t="s">
        <v>107</v>
      </c>
      <c r="C19" s="48" t="s">
        <v>151</v>
      </c>
      <c r="D19" s="44">
        <v>5000</v>
      </c>
      <c r="E19" s="26">
        <v>1</v>
      </c>
      <c r="F19" s="26">
        <v>59.8</v>
      </c>
      <c r="G19" s="26">
        <v>160</v>
      </c>
      <c r="H19" s="28">
        <f t="shared" si="0"/>
        <v>0.25507205751159062</v>
      </c>
      <c r="I19" s="7">
        <f t="shared" si="1"/>
        <v>5.0256547584527793E-2</v>
      </c>
      <c r="J19" s="8">
        <f t="shared" si="2"/>
        <v>97.816154085099868</v>
      </c>
      <c r="K19" s="8">
        <f t="shared" si="3"/>
        <v>4.9159022023133243</v>
      </c>
      <c r="L19" s="9">
        <f t="shared" si="4"/>
        <v>4.0205238067622232E-2</v>
      </c>
      <c r="M19" s="9">
        <f t="shared" si="5"/>
        <v>0.98318044046266495</v>
      </c>
      <c r="N19" s="8">
        <f t="shared" si="6"/>
        <v>3.3874536769064743</v>
      </c>
      <c r="O19" s="8">
        <f t="shared" si="7"/>
        <v>5.5718654665897125</v>
      </c>
      <c r="P19" s="378" t="str">
        <f t="shared" si="8"/>
        <v>54,2 to 65,4</v>
      </c>
      <c r="Q19" s="379"/>
      <c r="R19" s="8">
        <f t="shared" si="9"/>
        <v>7.4160185312822211</v>
      </c>
      <c r="S19" s="8">
        <f t="shared" si="10"/>
        <v>12.198264978718885</v>
      </c>
      <c r="T19" s="523" t="str">
        <f t="shared" si="11"/>
        <v>147,8 to 172,2</v>
      </c>
      <c r="U19" s="524"/>
      <c r="V19" s="106">
        <v>46.3</v>
      </c>
      <c r="W19" s="107">
        <v>149</v>
      </c>
      <c r="X19" s="16">
        <f t="shared" si="12"/>
        <v>0</v>
      </c>
      <c r="Y19" s="14">
        <f t="shared" si="13"/>
        <v>1</v>
      </c>
      <c r="Z19" s="106">
        <v>43.6</v>
      </c>
      <c r="AA19" s="107">
        <v>151</v>
      </c>
      <c r="AB19" s="16">
        <f t="shared" si="14"/>
        <v>0</v>
      </c>
      <c r="AC19" s="14">
        <f t="shared" si="15"/>
        <v>1</v>
      </c>
      <c r="AD19" s="106">
        <v>53.3</v>
      </c>
      <c r="AE19" s="107">
        <v>161</v>
      </c>
      <c r="AF19" s="16">
        <f t="shared" si="16"/>
        <v>0</v>
      </c>
      <c r="AG19" s="14">
        <f t="shared" si="17"/>
        <v>1</v>
      </c>
      <c r="AH19" s="106">
        <v>61</v>
      </c>
      <c r="AI19" s="107">
        <v>163</v>
      </c>
      <c r="AJ19" s="16">
        <f t="shared" si="18"/>
        <v>1</v>
      </c>
      <c r="AK19" s="14">
        <f t="shared" si="19"/>
        <v>1</v>
      </c>
      <c r="AL19" s="106">
        <v>63.5</v>
      </c>
      <c r="AM19" s="107">
        <v>158.9</v>
      </c>
      <c r="AN19" s="16">
        <f t="shared" si="20"/>
        <v>1</v>
      </c>
      <c r="AO19" s="14">
        <f t="shared" si="21"/>
        <v>1</v>
      </c>
    </row>
    <row r="20" spans="1:41" ht="25.05" customHeight="1" x14ac:dyDescent="0.3">
      <c r="B20" s="35" t="s">
        <v>107</v>
      </c>
      <c r="C20" s="48" t="s">
        <v>151</v>
      </c>
      <c r="D20" s="44">
        <v>10000</v>
      </c>
      <c r="E20" s="25">
        <v>1</v>
      </c>
      <c r="F20" s="26">
        <v>59.8</v>
      </c>
      <c r="G20" s="26">
        <v>160</v>
      </c>
      <c r="H20" s="28">
        <f t="shared" si="0"/>
        <v>0.25507205751159062</v>
      </c>
      <c r="I20" s="7">
        <f t="shared" si="1"/>
        <v>5.0256547584527793E-2</v>
      </c>
      <c r="J20" s="8">
        <f t="shared" si="2"/>
        <v>97.816154085099868</v>
      </c>
      <c r="K20" s="8">
        <f t="shared" si="3"/>
        <v>4.9159022023133243</v>
      </c>
      <c r="L20" s="9">
        <f t="shared" si="4"/>
        <v>4.0205238067622232E-2</v>
      </c>
      <c r="M20" s="9">
        <f t="shared" si="5"/>
        <v>0.98318044046266495</v>
      </c>
      <c r="N20" s="8">
        <f t="shared" si="6"/>
        <v>3.3874536769064743</v>
      </c>
      <c r="O20" s="8">
        <f t="shared" si="7"/>
        <v>5.5718654665897125</v>
      </c>
      <c r="P20" s="378" t="str">
        <f t="shared" si="8"/>
        <v>54,2 to 65,4</v>
      </c>
      <c r="Q20" s="379"/>
      <c r="R20" s="8">
        <f t="shared" si="9"/>
        <v>7.4160185312822211</v>
      </c>
      <c r="S20" s="8">
        <f t="shared" si="10"/>
        <v>12.198264978718885</v>
      </c>
      <c r="T20" s="523" t="str">
        <f t="shared" si="11"/>
        <v>147,8 to 172,2</v>
      </c>
      <c r="U20" s="524"/>
      <c r="V20" s="106">
        <v>48.1</v>
      </c>
      <c r="W20" s="109">
        <v>152</v>
      </c>
      <c r="X20" s="16">
        <f t="shared" si="12"/>
        <v>0</v>
      </c>
      <c r="Y20" s="14">
        <f t="shared" si="13"/>
        <v>1</v>
      </c>
      <c r="Z20" s="106">
        <v>52</v>
      </c>
      <c r="AA20" s="109">
        <v>157</v>
      </c>
      <c r="AB20" s="16">
        <f t="shared" si="14"/>
        <v>0</v>
      </c>
      <c r="AC20" s="14">
        <f t="shared" si="15"/>
        <v>1</v>
      </c>
      <c r="AD20" s="106">
        <v>37.200000000000003</v>
      </c>
      <c r="AE20" s="109">
        <v>199</v>
      </c>
      <c r="AF20" s="16">
        <f t="shared" si="16"/>
        <v>0</v>
      </c>
      <c r="AG20" s="14">
        <f t="shared" si="17"/>
        <v>0</v>
      </c>
      <c r="AH20" s="106">
        <v>60</v>
      </c>
      <c r="AI20" s="109">
        <v>168</v>
      </c>
      <c r="AJ20" s="16">
        <f t="shared" si="18"/>
        <v>1</v>
      </c>
      <c r="AK20" s="14">
        <f t="shared" si="19"/>
        <v>1</v>
      </c>
      <c r="AL20" s="106">
        <v>58.3</v>
      </c>
      <c r="AM20" s="109">
        <v>161.1</v>
      </c>
      <c r="AN20" s="16">
        <f t="shared" si="20"/>
        <v>1</v>
      </c>
      <c r="AO20" s="14">
        <f t="shared" si="21"/>
        <v>1</v>
      </c>
    </row>
    <row r="21" spans="1:41" ht="25.05" customHeight="1" x14ac:dyDescent="0.3">
      <c r="B21" s="37" t="s">
        <v>107</v>
      </c>
      <c r="C21" s="48" t="s">
        <v>151</v>
      </c>
      <c r="D21" s="44">
        <v>50000</v>
      </c>
      <c r="E21" s="27">
        <v>1</v>
      </c>
      <c r="F21" s="26">
        <v>59.8</v>
      </c>
      <c r="G21" s="26">
        <v>160</v>
      </c>
      <c r="H21" s="28">
        <f t="shared" si="0"/>
        <v>0.25507205751159062</v>
      </c>
      <c r="I21" s="7">
        <f t="shared" si="1"/>
        <v>5.0256547584527793E-2</v>
      </c>
      <c r="J21" s="8">
        <f t="shared" si="2"/>
        <v>97.816154085099868</v>
      </c>
      <c r="K21" s="8">
        <f t="shared" si="3"/>
        <v>4.9159022023133243</v>
      </c>
      <c r="L21" s="9">
        <f t="shared" si="4"/>
        <v>4.0205238067622232E-2</v>
      </c>
      <c r="M21" s="9">
        <f t="shared" si="5"/>
        <v>0.98318044046266495</v>
      </c>
      <c r="N21" s="8">
        <f t="shared" si="6"/>
        <v>3.3874536769064743</v>
      </c>
      <c r="O21" s="8">
        <f t="shared" si="7"/>
        <v>5.5718654665897125</v>
      </c>
      <c r="P21" s="378" t="str">
        <f t="shared" si="8"/>
        <v>54,2 to 65,4</v>
      </c>
      <c r="Q21" s="379"/>
      <c r="R21" s="8">
        <f t="shared" si="9"/>
        <v>7.4160185312822211</v>
      </c>
      <c r="S21" s="8">
        <f t="shared" si="10"/>
        <v>12.198264978718885</v>
      </c>
      <c r="T21" s="523" t="str">
        <f t="shared" si="11"/>
        <v>147,8 to 172,2</v>
      </c>
      <c r="U21" s="524"/>
      <c r="V21" s="108">
        <v>51.9</v>
      </c>
      <c r="W21" s="109">
        <v>158</v>
      </c>
      <c r="X21" s="13">
        <f t="shared" si="12"/>
        <v>0</v>
      </c>
      <c r="Y21" s="18">
        <f t="shared" si="13"/>
        <v>1</v>
      </c>
      <c r="Z21" s="108">
        <v>55.7</v>
      </c>
      <c r="AA21" s="109">
        <v>160</v>
      </c>
      <c r="AB21" s="13">
        <f t="shared" si="14"/>
        <v>1</v>
      </c>
      <c r="AC21" s="18">
        <f t="shared" si="15"/>
        <v>1</v>
      </c>
      <c r="AD21" s="108">
        <v>37.1</v>
      </c>
      <c r="AE21" s="109">
        <v>201</v>
      </c>
      <c r="AF21" s="13">
        <f t="shared" si="16"/>
        <v>0</v>
      </c>
      <c r="AG21" s="18">
        <f t="shared" si="17"/>
        <v>0</v>
      </c>
      <c r="AH21" s="108">
        <v>60</v>
      </c>
      <c r="AI21" s="109">
        <v>171</v>
      </c>
      <c r="AJ21" s="13">
        <f t="shared" si="18"/>
        <v>1</v>
      </c>
      <c r="AK21" s="18">
        <f t="shared" si="19"/>
        <v>1</v>
      </c>
      <c r="AL21" s="108">
        <v>59.3</v>
      </c>
      <c r="AM21" s="109">
        <v>164</v>
      </c>
      <c r="AN21" s="13">
        <f t="shared" si="20"/>
        <v>1</v>
      </c>
      <c r="AO21" s="18">
        <f t="shared" si="21"/>
        <v>1</v>
      </c>
    </row>
    <row r="22" spans="1:41" ht="25.05" customHeight="1" x14ac:dyDescent="0.3">
      <c r="B22" s="37" t="s">
        <v>108</v>
      </c>
      <c r="C22" s="48" t="s">
        <v>151</v>
      </c>
      <c r="D22" s="45">
        <v>500</v>
      </c>
      <c r="E22" s="27">
        <v>0</v>
      </c>
      <c r="F22" s="27">
        <v>10</v>
      </c>
      <c r="G22" s="27">
        <v>50</v>
      </c>
      <c r="H22" s="28">
        <f t="shared" si="0"/>
        <v>0.42849650494403002</v>
      </c>
      <c r="I22" s="7">
        <f t="shared" si="1"/>
        <v>6.5268407744024981E-2</v>
      </c>
      <c r="J22" s="8">
        <f t="shared" si="2"/>
        <v>22.360679774997894</v>
      </c>
      <c r="K22" s="8">
        <f t="shared" si="3"/>
        <v>1.4594459649881353</v>
      </c>
      <c r="L22" s="9">
        <f t="shared" si="4"/>
        <v>5.2214726195219982E-2</v>
      </c>
      <c r="M22" s="9">
        <f t="shared" si="5"/>
        <v>0.29188919299762706</v>
      </c>
      <c r="N22" s="8">
        <f t="shared" si="6"/>
        <v>0.8140364549498269</v>
      </c>
      <c r="O22" s="8">
        <f t="shared" si="7"/>
        <v>1.3389708153949409</v>
      </c>
      <c r="P22" s="378" t="str">
        <f t="shared" si="8"/>
        <v>9 to 11</v>
      </c>
      <c r="Q22" s="379"/>
      <c r="R22" s="8">
        <f t="shared" si="9"/>
        <v>2.9026255027586263</v>
      </c>
      <c r="S22" s="8">
        <f t="shared" si="10"/>
        <v>4.7743940858943654</v>
      </c>
      <c r="T22" s="523" t="str">
        <f t="shared" si="11"/>
        <v>45 to 55</v>
      </c>
      <c r="U22" s="524"/>
      <c r="V22" s="106">
        <v>10</v>
      </c>
      <c r="W22" s="109">
        <v>49</v>
      </c>
      <c r="X22" s="15">
        <f t="shared" si="12"/>
        <v>1</v>
      </c>
      <c r="Y22" s="18">
        <f t="shared" si="13"/>
        <v>1</v>
      </c>
      <c r="Z22" s="106">
        <v>9</v>
      </c>
      <c r="AA22" s="109">
        <v>45</v>
      </c>
      <c r="AB22" s="15">
        <f t="shared" si="14"/>
        <v>1</v>
      </c>
      <c r="AC22" s="18">
        <f t="shared" si="15"/>
        <v>1</v>
      </c>
      <c r="AD22" s="106">
        <v>9</v>
      </c>
      <c r="AE22" s="109">
        <v>46</v>
      </c>
      <c r="AF22" s="15">
        <f t="shared" si="16"/>
        <v>1</v>
      </c>
      <c r="AG22" s="18">
        <f t="shared" si="17"/>
        <v>1</v>
      </c>
      <c r="AH22" s="106">
        <v>10</v>
      </c>
      <c r="AI22" s="109">
        <v>49</v>
      </c>
      <c r="AJ22" s="15">
        <f t="shared" si="18"/>
        <v>1</v>
      </c>
      <c r="AK22" s="18">
        <f t="shared" si="19"/>
        <v>1</v>
      </c>
      <c r="AL22" s="106">
        <v>8</v>
      </c>
      <c r="AM22" s="109">
        <v>50</v>
      </c>
      <c r="AN22" s="15">
        <f t="shared" si="20"/>
        <v>0</v>
      </c>
      <c r="AO22" s="18">
        <f t="shared" si="21"/>
        <v>1</v>
      </c>
    </row>
    <row r="23" spans="1:41" ht="25.05" customHeight="1" x14ac:dyDescent="0.3">
      <c r="B23" s="37" t="s">
        <v>108</v>
      </c>
      <c r="C23" s="48" t="s">
        <v>151</v>
      </c>
      <c r="D23" s="45">
        <v>1000</v>
      </c>
      <c r="E23" s="27">
        <v>0</v>
      </c>
      <c r="F23" s="27">
        <v>10</v>
      </c>
      <c r="G23" s="27">
        <v>50</v>
      </c>
      <c r="H23" s="28">
        <f t="shared" si="0"/>
        <v>0.42849650494403002</v>
      </c>
      <c r="I23" s="7">
        <f t="shared" si="1"/>
        <v>6.5268407744024981E-2</v>
      </c>
      <c r="J23" s="8">
        <f t="shared" si="2"/>
        <v>22.360679774997894</v>
      </c>
      <c r="K23" s="8">
        <f t="shared" si="3"/>
        <v>1.4594459649881353</v>
      </c>
      <c r="L23" s="9">
        <f t="shared" si="4"/>
        <v>5.2214726195219982E-2</v>
      </c>
      <c r="M23" s="9">
        <f t="shared" si="5"/>
        <v>0.29188919299762706</v>
      </c>
      <c r="N23" s="8">
        <f t="shared" si="6"/>
        <v>0.8140364549498269</v>
      </c>
      <c r="O23" s="8">
        <f t="shared" si="7"/>
        <v>1.3389708153949409</v>
      </c>
      <c r="P23" s="378" t="str">
        <f t="shared" si="8"/>
        <v>9 to 11</v>
      </c>
      <c r="Q23" s="379"/>
      <c r="R23" s="8">
        <f t="shared" si="9"/>
        <v>2.9026255027586263</v>
      </c>
      <c r="S23" s="8">
        <f t="shared" si="10"/>
        <v>4.7743940858943654</v>
      </c>
      <c r="T23" s="523" t="str">
        <f t="shared" si="11"/>
        <v>45 to 55</v>
      </c>
      <c r="U23" s="524"/>
      <c r="V23" s="106">
        <v>10</v>
      </c>
      <c r="W23" s="109">
        <v>46</v>
      </c>
      <c r="X23" s="15">
        <f t="shared" si="12"/>
        <v>1</v>
      </c>
      <c r="Y23" s="18">
        <f t="shared" si="13"/>
        <v>1</v>
      </c>
      <c r="Z23" s="106">
        <v>9</v>
      </c>
      <c r="AA23" s="109">
        <v>43</v>
      </c>
      <c r="AB23" s="15">
        <f t="shared" si="14"/>
        <v>1</v>
      </c>
      <c r="AC23" s="18">
        <f t="shared" si="15"/>
        <v>0</v>
      </c>
      <c r="AD23" s="106">
        <v>10</v>
      </c>
      <c r="AE23" s="109">
        <v>50</v>
      </c>
      <c r="AF23" s="15">
        <f t="shared" si="16"/>
        <v>1</v>
      </c>
      <c r="AG23" s="18">
        <f t="shared" si="17"/>
        <v>1</v>
      </c>
      <c r="AH23" s="106">
        <v>10</v>
      </c>
      <c r="AI23" s="109">
        <v>48</v>
      </c>
      <c r="AJ23" s="15">
        <f t="shared" si="18"/>
        <v>1</v>
      </c>
      <c r="AK23" s="18">
        <f t="shared" si="19"/>
        <v>1</v>
      </c>
      <c r="AL23" s="106">
        <v>9</v>
      </c>
      <c r="AM23" s="109">
        <v>50</v>
      </c>
      <c r="AN23" s="15">
        <f t="shared" si="20"/>
        <v>1</v>
      </c>
      <c r="AO23" s="18">
        <f t="shared" si="21"/>
        <v>1</v>
      </c>
    </row>
    <row r="24" spans="1:41" ht="25.05" customHeight="1" x14ac:dyDescent="0.3">
      <c r="B24" s="37" t="s">
        <v>108</v>
      </c>
      <c r="C24" s="48" t="s">
        <v>151</v>
      </c>
      <c r="D24" s="45">
        <v>5000</v>
      </c>
      <c r="E24" s="27">
        <v>0</v>
      </c>
      <c r="F24" s="27">
        <v>10</v>
      </c>
      <c r="G24" s="27">
        <v>50</v>
      </c>
      <c r="H24" s="28">
        <f t="shared" si="0"/>
        <v>0.42849650494403002</v>
      </c>
      <c r="I24" s="7">
        <f t="shared" si="1"/>
        <v>6.5268407744024981E-2</v>
      </c>
      <c r="J24" s="8">
        <f t="shared" si="2"/>
        <v>22.360679774997894</v>
      </c>
      <c r="K24" s="8">
        <f t="shared" si="3"/>
        <v>1.4594459649881353</v>
      </c>
      <c r="L24" s="9">
        <f t="shared" si="4"/>
        <v>5.2214726195219982E-2</v>
      </c>
      <c r="M24" s="9">
        <f t="shared" si="5"/>
        <v>0.29188919299762706</v>
      </c>
      <c r="N24" s="8">
        <f t="shared" si="6"/>
        <v>0.8140364549498269</v>
      </c>
      <c r="O24" s="8">
        <f t="shared" si="7"/>
        <v>1.3389708153949409</v>
      </c>
      <c r="P24" s="378" t="str">
        <f t="shared" si="8"/>
        <v>9 to 11</v>
      </c>
      <c r="Q24" s="379"/>
      <c r="R24" s="8">
        <f t="shared" si="9"/>
        <v>2.9026255027586263</v>
      </c>
      <c r="S24" s="8">
        <f t="shared" si="10"/>
        <v>4.7743940858943654</v>
      </c>
      <c r="T24" s="523" t="str">
        <f t="shared" si="11"/>
        <v>45 to 55</v>
      </c>
      <c r="U24" s="524"/>
      <c r="V24" s="106">
        <v>8</v>
      </c>
      <c r="W24" s="109">
        <v>42</v>
      </c>
      <c r="X24" s="15">
        <f t="shared" si="12"/>
        <v>0</v>
      </c>
      <c r="Y24" s="18">
        <f t="shared" si="13"/>
        <v>0</v>
      </c>
      <c r="Z24" s="106">
        <v>8</v>
      </c>
      <c r="AA24" s="109">
        <v>43</v>
      </c>
      <c r="AB24" s="15">
        <f t="shared" si="14"/>
        <v>0</v>
      </c>
      <c r="AC24" s="18">
        <f t="shared" si="15"/>
        <v>0</v>
      </c>
      <c r="AD24" s="106">
        <v>11</v>
      </c>
      <c r="AE24" s="109">
        <v>46</v>
      </c>
      <c r="AF24" s="15">
        <f t="shared" si="16"/>
        <v>1</v>
      </c>
      <c r="AG24" s="18">
        <f t="shared" si="17"/>
        <v>1</v>
      </c>
      <c r="AH24" s="106">
        <v>10</v>
      </c>
      <c r="AI24" s="109">
        <v>48</v>
      </c>
      <c r="AJ24" s="15">
        <f t="shared" si="18"/>
        <v>1</v>
      </c>
      <c r="AK24" s="18">
        <f t="shared" si="19"/>
        <v>1</v>
      </c>
      <c r="AL24" s="106">
        <v>8</v>
      </c>
      <c r="AM24" s="109">
        <v>43</v>
      </c>
      <c r="AN24" s="15">
        <f t="shared" si="20"/>
        <v>0</v>
      </c>
      <c r="AO24" s="18">
        <f t="shared" si="21"/>
        <v>0</v>
      </c>
    </row>
    <row r="25" spans="1:41" ht="25.05" customHeight="1" x14ac:dyDescent="0.3">
      <c r="B25" s="37" t="s">
        <v>108</v>
      </c>
      <c r="C25" s="48" t="s">
        <v>151</v>
      </c>
      <c r="D25" s="45">
        <v>10000</v>
      </c>
      <c r="E25" s="27">
        <v>0</v>
      </c>
      <c r="F25" s="27">
        <v>10</v>
      </c>
      <c r="G25" s="27">
        <v>50</v>
      </c>
      <c r="H25" s="28">
        <f t="shared" si="0"/>
        <v>0.42849650494403002</v>
      </c>
      <c r="I25" s="7">
        <f t="shared" si="1"/>
        <v>6.5268407744024981E-2</v>
      </c>
      <c r="J25" s="8">
        <f t="shared" si="2"/>
        <v>22.360679774997894</v>
      </c>
      <c r="K25" s="8">
        <f t="shared" si="3"/>
        <v>1.4594459649881353</v>
      </c>
      <c r="L25" s="9">
        <f t="shared" si="4"/>
        <v>5.2214726195219982E-2</v>
      </c>
      <c r="M25" s="9">
        <f t="shared" si="5"/>
        <v>0.29188919299762706</v>
      </c>
      <c r="N25" s="8">
        <f t="shared" si="6"/>
        <v>0.8140364549498269</v>
      </c>
      <c r="O25" s="8">
        <f t="shared" si="7"/>
        <v>1.3389708153949409</v>
      </c>
      <c r="P25" s="378" t="str">
        <f t="shared" si="8"/>
        <v>9 to 11</v>
      </c>
      <c r="Q25" s="379"/>
      <c r="R25" s="8">
        <f t="shared" si="9"/>
        <v>2.9026255027586263</v>
      </c>
      <c r="S25" s="8">
        <f t="shared" si="10"/>
        <v>4.7743940858943654</v>
      </c>
      <c r="T25" s="523" t="str">
        <f t="shared" si="11"/>
        <v>45 to 55</v>
      </c>
      <c r="U25" s="524"/>
      <c r="V25" s="106">
        <v>10</v>
      </c>
      <c r="W25" s="109">
        <v>46</v>
      </c>
      <c r="X25" s="15">
        <f t="shared" si="12"/>
        <v>1</v>
      </c>
      <c r="Y25" s="18">
        <f t="shared" si="13"/>
        <v>1</v>
      </c>
      <c r="Z25" s="106">
        <v>9</v>
      </c>
      <c r="AA25" s="109">
        <v>45</v>
      </c>
      <c r="AB25" s="15">
        <f t="shared" si="14"/>
        <v>1</v>
      </c>
      <c r="AC25" s="18">
        <f t="shared" si="15"/>
        <v>1</v>
      </c>
      <c r="AD25" s="106">
        <v>10</v>
      </c>
      <c r="AE25" s="109">
        <v>48</v>
      </c>
      <c r="AF25" s="15">
        <f t="shared" si="16"/>
        <v>1</v>
      </c>
      <c r="AG25" s="18">
        <f t="shared" si="17"/>
        <v>1</v>
      </c>
      <c r="AH25" s="106">
        <v>10</v>
      </c>
      <c r="AI25" s="109">
        <v>49</v>
      </c>
      <c r="AJ25" s="15">
        <f t="shared" si="18"/>
        <v>1</v>
      </c>
      <c r="AK25" s="18">
        <f t="shared" si="19"/>
        <v>1</v>
      </c>
      <c r="AL25" s="106">
        <v>10</v>
      </c>
      <c r="AM25" s="109">
        <v>47</v>
      </c>
      <c r="AN25" s="15">
        <f t="shared" si="20"/>
        <v>1</v>
      </c>
      <c r="AO25" s="18">
        <f t="shared" si="21"/>
        <v>1</v>
      </c>
    </row>
    <row r="26" spans="1:41" ht="25.05" customHeight="1" thickBot="1" x14ac:dyDescent="0.35">
      <c r="B26" s="37" t="s">
        <v>108</v>
      </c>
      <c r="C26" s="50" t="s">
        <v>151</v>
      </c>
      <c r="D26" s="45">
        <v>100000</v>
      </c>
      <c r="E26" s="27">
        <v>0</v>
      </c>
      <c r="F26" s="27">
        <v>10</v>
      </c>
      <c r="G26" s="27">
        <v>50</v>
      </c>
      <c r="H26" s="38">
        <f t="shared" si="0"/>
        <v>0.42849650494403002</v>
      </c>
      <c r="I26" s="39">
        <f t="shared" si="1"/>
        <v>6.5268407744024981E-2</v>
      </c>
      <c r="J26" s="40">
        <f t="shared" si="2"/>
        <v>22.360679774997894</v>
      </c>
      <c r="K26" s="40">
        <f t="shared" si="3"/>
        <v>1.4594459649881353</v>
      </c>
      <c r="L26" s="41">
        <f t="shared" si="4"/>
        <v>5.2214726195219982E-2</v>
      </c>
      <c r="M26" s="41">
        <f t="shared" si="5"/>
        <v>0.29188919299762706</v>
      </c>
      <c r="N26" s="40">
        <f t="shared" si="6"/>
        <v>0.8140364549498269</v>
      </c>
      <c r="O26" s="40">
        <f t="shared" si="7"/>
        <v>1.3389708153949409</v>
      </c>
      <c r="P26" s="525" t="str">
        <f t="shared" si="8"/>
        <v>9 to 11</v>
      </c>
      <c r="Q26" s="526"/>
      <c r="R26" s="40">
        <f t="shared" si="9"/>
        <v>2.9026255027586263</v>
      </c>
      <c r="S26" s="40">
        <f t="shared" si="10"/>
        <v>4.7743940858943654</v>
      </c>
      <c r="T26" s="527" t="str">
        <f t="shared" si="11"/>
        <v>45 to 55</v>
      </c>
      <c r="U26" s="528"/>
      <c r="V26" s="111">
        <v>10</v>
      </c>
      <c r="W26" s="112">
        <v>50</v>
      </c>
      <c r="X26" s="22">
        <f t="shared" si="12"/>
        <v>1</v>
      </c>
      <c r="Y26" s="23">
        <f t="shared" si="13"/>
        <v>1</v>
      </c>
      <c r="Z26" s="111">
        <v>10</v>
      </c>
      <c r="AA26" s="112">
        <v>50</v>
      </c>
      <c r="AB26" s="22">
        <f t="shared" si="14"/>
        <v>1</v>
      </c>
      <c r="AC26" s="23">
        <f t="shared" si="15"/>
        <v>1</v>
      </c>
      <c r="AD26" s="111">
        <v>10</v>
      </c>
      <c r="AE26" s="112">
        <v>50</v>
      </c>
      <c r="AF26" s="22">
        <f t="shared" si="16"/>
        <v>1</v>
      </c>
      <c r="AG26" s="23">
        <f t="shared" si="17"/>
        <v>1</v>
      </c>
      <c r="AH26" s="111">
        <v>10</v>
      </c>
      <c r="AI26" s="112">
        <v>50</v>
      </c>
      <c r="AJ26" s="22">
        <f t="shared" si="18"/>
        <v>1</v>
      </c>
      <c r="AK26" s="23">
        <f t="shared" si="19"/>
        <v>1</v>
      </c>
      <c r="AL26" s="111">
        <v>10</v>
      </c>
      <c r="AM26" s="112">
        <v>50</v>
      </c>
      <c r="AN26" s="22">
        <f t="shared" si="20"/>
        <v>1</v>
      </c>
      <c r="AO26" s="23">
        <f t="shared" si="21"/>
        <v>1</v>
      </c>
    </row>
    <row r="27" spans="1:41" ht="25.05" customHeight="1" thickTop="1" x14ac:dyDescent="0.3">
      <c r="B27" s="433"/>
      <c r="C27" s="434"/>
      <c r="D27" s="434"/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  <c r="P27" s="434"/>
      <c r="Q27" s="434"/>
      <c r="R27" s="434"/>
      <c r="S27" s="434"/>
      <c r="T27" s="434"/>
      <c r="U27" s="435"/>
      <c r="V27" s="413" t="s">
        <v>249</v>
      </c>
      <c r="W27" s="414"/>
      <c r="X27" s="11">
        <f>SUM(X12:X26)</f>
        <v>6</v>
      </c>
      <c r="Y27" s="17">
        <f>SUM(Y12:Y26)</f>
        <v>13</v>
      </c>
      <c r="Z27" s="413" t="s">
        <v>53</v>
      </c>
      <c r="AA27" s="414"/>
      <c r="AB27" s="11">
        <f>SUM(AB12:AB26)</f>
        <v>9</v>
      </c>
      <c r="AC27" s="17">
        <f>SUM(AC12:AC26)</f>
        <v>13</v>
      </c>
      <c r="AD27" s="413" t="s">
        <v>56</v>
      </c>
      <c r="AE27" s="414"/>
      <c r="AF27" s="11">
        <f>SUM(AF12:AF26)</f>
        <v>10</v>
      </c>
      <c r="AG27" s="17">
        <f>SUM(AG12:AG26)</f>
        <v>12</v>
      </c>
      <c r="AH27" s="413" t="s">
        <v>59</v>
      </c>
      <c r="AI27" s="414"/>
      <c r="AJ27" s="11">
        <f>SUM(AJ12:AJ26)</f>
        <v>10</v>
      </c>
      <c r="AK27" s="17">
        <f>SUM(AK12:AK26)</f>
        <v>10</v>
      </c>
      <c r="AL27" s="413" t="s">
        <v>62</v>
      </c>
      <c r="AM27" s="414"/>
      <c r="AN27" s="11">
        <f>SUM(AN12:AN26)</f>
        <v>13</v>
      </c>
      <c r="AO27" s="17">
        <f>SUM(AO12:AO26)</f>
        <v>13</v>
      </c>
    </row>
    <row r="28" spans="1:41" ht="25.05" customHeight="1" x14ac:dyDescent="0.3">
      <c r="A28" s="2"/>
      <c r="B28" s="436"/>
      <c r="C28" s="437"/>
      <c r="D28" s="437"/>
      <c r="E28" s="437"/>
      <c r="F28" s="437"/>
      <c r="G28" s="437"/>
      <c r="H28" s="437"/>
      <c r="I28" s="437"/>
      <c r="J28" s="437"/>
      <c r="K28" s="437"/>
      <c r="L28" s="437"/>
      <c r="M28" s="437"/>
      <c r="N28" s="437"/>
      <c r="O28" s="437"/>
      <c r="P28" s="437"/>
      <c r="Q28" s="437"/>
      <c r="R28" s="437"/>
      <c r="S28" s="437"/>
      <c r="T28" s="437"/>
      <c r="U28" s="438"/>
      <c r="V28" s="415" t="s">
        <v>250</v>
      </c>
      <c r="W28" s="416"/>
      <c r="X28" s="20">
        <f>IFERROR(X27/COUNT(X12:X26),"")</f>
        <v>0.4</v>
      </c>
      <c r="Y28" s="21">
        <f>IFERROR(Y27/COUNT(Y12:Y26),"")</f>
        <v>0.8666666666666667</v>
      </c>
      <c r="Z28" s="415" t="s">
        <v>54</v>
      </c>
      <c r="AA28" s="416"/>
      <c r="AB28" s="20">
        <f>IFERROR(AB27/COUNT(AB12:AB26),"")</f>
        <v>0.6</v>
      </c>
      <c r="AC28" s="21">
        <f>IFERROR(AC27/COUNT(AC12:AC26),"")</f>
        <v>0.8666666666666667</v>
      </c>
      <c r="AD28" s="415" t="s">
        <v>57</v>
      </c>
      <c r="AE28" s="416"/>
      <c r="AF28" s="20">
        <f>IFERROR(AF27/COUNT(AF12:AF26),"")</f>
        <v>0.66666666666666663</v>
      </c>
      <c r="AG28" s="21">
        <f>IFERROR(AG27/COUNT(AG12:AG26),"")</f>
        <v>0.8</v>
      </c>
      <c r="AH28" s="415" t="s">
        <v>60</v>
      </c>
      <c r="AI28" s="416"/>
      <c r="AJ28" s="20">
        <f>IFERROR(AJ27/COUNT(AJ12:AJ26),"")</f>
        <v>0.66666666666666663</v>
      </c>
      <c r="AK28" s="21">
        <f>IFERROR(AK27/COUNT(AK12:AK26),"")</f>
        <v>0.66666666666666663</v>
      </c>
      <c r="AL28" s="415" t="s">
        <v>63</v>
      </c>
      <c r="AM28" s="416"/>
      <c r="AN28" s="20">
        <f>IFERROR(AN27/COUNT(AN12:AN26),"")</f>
        <v>0.8666666666666667</v>
      </c>
      <c r="AO28" s="21">
        <f>IFERROR(AO27/COUNT(AO12:AO26),"")</f>
        <v>0.8666666666666667</v>
      </c>
    </row>
    <row r="29" spans="1:41" ht="25.05" customHeight="1" thickBot="1" x14ac:dyDescent="0.35">
      <c r="A29" s="2"/>
      <c r="B29" s="439"/>
      <c r="C29" s="440"/>
      <c r="D29" s="440"/>
      <c r="E29" s="440"/>
      <c r="F29" s="440"/>
      <c r="G29" s="440"/>
      <c r="H29" s="440"/>
      <c r="I29" s="440"/>
      <c r="J29" s="440"/>
      <c r="K29" s="440"/>
      <c r="L29" s="440"/>
      <c r="M29" s="440"/>
      <c r="N29" s="440"/>
      <c r="O29" s="440"/>
      <c r="P29" s="440"/>
      <c r="Q29" s="440"/>
      <c r="R29" s="440"/>
      <c r="S29" s="440"/>
      <c r="T29" s="440"/>
      <c r="U29" s="441"/>
      <c r="V29" s="417" t="s">
        <v>52</v>
      </c>
      <c r="W29" s="418"/>
      <c r="X29" s="425">
        <f>IFERROR(SUM(X27:Y27)/COUNT(X12:Y26),"")</f>
        <v>0.6333333333333333</v>
      </c>
      <c r="Y29" s="426"/>
      <c r="Z29" s="417" t="s">
        <v>55</v>
      </c>
      <c r="AA29" s="418"/>
      <c r="AB29" s="425">
        <f>IFERROR(SUM(AB27:AC27)/COUNT(AB12:AC26),"")</f>
        <v>0.73333333333333328</v>
      </c>
      <c r="AC29" s="426"/>
      <c r="AD29" s="417" t="s">
        <v>58</v>
      </c>
      <c r="AE29" s="418"/>
      <c r="AF29" s="425">
        <f>IFERROR(SUM(AF27:AG27)/COUNT(AF12:AG26),"")</f>
        <v>0.73333333333333328</v>
      </c>
      <c r="AG29" s="426"/>
      <c r="AH29" s="417" t="s">
        <v>61</v>
      </c>
      <c r="AI29" s="418"/>
      <c r="AJ29" s="425">
        <f>IFERROR(SUM(AJ27:AK27)/COUNT(AJ12:AK26),"")</f>
        <v>0.66666666666666663</v>
      </c>
      <c r="AK29" s="426"/>
      <c r="AL29" s="417" t="s">
        <v>64</v>
      </c>
      <c r="AM29" s="418"/>
      <c r="AN29" s="425">
        <f>IFERROR(SUM(AN27:AO27)/COUNT(AN12:AO26),"")</f>
        <v>0.8666666666666667</v>
      </c>
      <c r="AO29" s="426"/>
    </row>
    <row r="30" spans="1:41" ht="25.05" customHeight="1" thickTop="1" thickBot="1" x14ac:dyDescent="0.35">
      <c r="A30" s="2"/>
      <c r="R30" s="1"/>
      <c r="S30" s="1"/>
      <c r="T30" s="1"/>
    </row>
    <row r="31" spans="1:41" s="2" customFormat="1" ht="25.05" customHeight="1" thickTop="1" x14ac:dyDescent="0.3">
      <c r="A31" s="1"/>
      <c r="B31" s="470" t="s">
        <v>104</v>
      </c>
      <c r="C31" s="471"/>
      <c r="D31" s="471"/>
      <c r="E31" s="471"/>
      <c r="F31" s="471"/>
      <c r="G31" s="471"/>
      <c r="H31" s="471"/>
      <c r="I31" s="471"/>
      <c r="J31" s="471"/>
      <c r="K31" s="471"/>
      <c r="L31" s="471"/>
      <c r="M31" s="471"/>
      <c r="N31" s="472"/>
      <c r="O31" s="1"/>
      <c r="AK31" s="1"/>
    </row>
    <row r="32" spans="1:41" s="2" customFormat="1" ht="25.05" customHeight="1" x14ac:dyDescent="0.3">
      <c r="A32" s="1"/>
      <c r="B32" s="408" t="s">
        <v>100</v>
      </c>
      <c r="C32" s="409"/>
      <c r="D32" s="409"/>
      <c r="E32" s="409"/>
      <c r="F32" s="409"/>
      <c r="G32" s="409"/>
      <c r="H32" s="409"/>
      <c r="I32" s="409"/>
      <c r="J32" s="409"/>
      <c r="K32" s="409"/>
      <c r="L32" s="409"/>
      <c r="M32" s="409"/>
      <c r="N32" s="410"/>
      <c r="O32" s="1"/>
      <c r="AK32" s="1"/>
    </row>
    <row r="33" spans="1:37" s="2" customFormat="1" ht="25.05" customHeight="1" x14ac:dyDescent="0.3">
      <c r="A33" s="1"/>
      <c r="B33" s="408" t="s">
        <v>101</v>
      </c>
      <c r="C33" s="409"/>
      <c r="D33" s="409"/>
      <c r="E33" s="409"/>
      <c r="F33" s="409"/>
      <c r="G33" s="409"/>
      <c r="H33" s="409"/>
      <c r="I33" s="409"/>
      <c r="J33" s="409"/>
      <c r="K33" s="409"/>
      <c r="L33" s="409"/>
      <c r="M33" s="409"/>
      <c r="N33" s="410"/>
      <c r="O33" s="1"/>
      <c r="AK33" s="1"/>
    </row>
    <row r="34" spans="1:37" s="2" customFormat="1" ht="25.05" customHeight="1" x14ac:dyDescent="0.3">
      <c r="A34" s="1"/>
      <c r="B34" s="408" t="s">
        <v>102</v>
      </c>
      <c r="C34" s="409"/>
      <c r="D34" s="409"/>
      <c r="E34" s="409"/>
      <c r="F34" s="409"/>
      <c r="G34" s="409"/>
      <c r="H34" s="409"/>
      <c r="I34" s="409"/>
      <c r="J34" s="409"/>
      <c r="K34" s="409"/>
      <c r="L34" s="409"/>
      <c r="M34" s="409"/>
      <c r="N34" s="410"/>
      <c r="O34" s="1"/>
      <c r="AK34" s="1"/>
    </row>
    <row r="35" spans="1:37" s="2" customFormat="1" ht="25.05" customHeight="1" x14ac:dyDescent="0.3">
      <c r="A35" s="1"/>
      <c r="B35" s="408" t="s">
        <v>103</v>
      </c>
      <c r="C35" s="409"/>
      <c r="D35" s="409"/>
      <c r="E35" s="409"/>
      <c r="F35" s="409"/>
      <c r="G35" s="409"/>
      <c r="H35" s="409"/>
      <c r="I35" s="409"/>
      <c r="J35" s="409"/>
      <c r="K35" s="409"/>
      <c r="L35" s="409"/>
      <c r="M35" s="409"/>
      <c r="N35" s="410"/>
      <c r="O35" s="1"/>
      <c r="AK35" s="1"/>
    </row>
    <row r="36" spans="1:37" s="2" customFormat="1" ht="25.05" customHeight="1" x14ac:dyDescent="0.3">
      <c r="A36" s="1"/>
      <c r="B36" s="408" t="s">
        <v>99</v>
      </c>
      <c r="C36" s="409"/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10"/>
      <c r="O36" s="1"/>
      <c r="AK36" s="1"/>
    </row>
    <row r="37" spans="1:37" s="2" customFormat="1" ht="25.05" customHeight="1" x14ac:dyDescent="0.3">
      <c r="A37" s="1"/>
      <c r="B37" s="408" t="s">
        <v>98</v>
      </c>
      <c r="C37" s="409"/>
      <c r="D37" s="409"/>
      <c r="E37" s="409"/>
      <c r="F37" s="409"/>
      <c r="G37" s="409"/>
      <c r="H37" s="409"/>
      <c r="I37" s="409"/>
      <c r="J37" s="409"/>
      <c r="K37" s="409"/>
      <c r="L37" s="409"/>
      <c r="M37" s="409"/>
      <c r="N37" s="410"/>
      <c r="O37" s="1"/>
    </row>
    <row r="38" spans="1:37" s="2" customFormat="1" ht="25.05" customHeight="1" x14ac:dyDescent="0.3">
      <c r="A38" s="1"/>
      <c r="B38" s="408" t="s">
        <v>97</v>
      </c>
      <c r="C38" s="409"/>
      <c r="D38" s="409"/>
      <c r="E38" s="409"/>
      <c r="F38" s="409"/>
      <c r="G38" s="409"/>
      <c r="H38" s="409"/>
      <c r="I38" s="409"/>
      <c r="J38" s="409"/>
      <c r="K38" s="409"/>
      <c r="L38" s="409"/>
      <c r="M38" s="409"/>
      <c r="N38" s="410"/>
      <c r="O38" s="1"/>
    </row>
    <row r="39" spans="1:37" s="2" customFormat="1" ht="25.05" customHeight="1" x14ac:dyDescent="0.3">
      <c r="A39" s="1"/>
      <c r="B39" s="408" t="s">
        <v>96</v>
      </c>
      <c r="C39" s="409"/>
      <c r="D39" s="409"/>
      <c r="E39" s="409"/>
      <c r="F39" s="409"/>
      <c r="G39" s="409"/>
      <c r="H39" s="409"/>
      <c r="I39" s="409"/>
      <c r="J39" s="409"/>
      <c r="K39" s="409"/>
      <c r="L39" s="409"/>
      <c r="M39" s="409"/>
      <c r="N39" s="410"/>
      <c r="O39" s="1"/>
    </row>
    <row r="40" spans="1:37" s="2" customFormat="1" ht="31.8" customHeight="1" x14ac:dyDescent="0.3">
      <c r="A40" s="1"/>
      <c r="B40" s="408" t="s">
        <v>95</v>
      </c>
      <c r="C40" s="409"/>
      <c r="D40" s="409"/>
      <c r="E40" s="409"/>
      <c r="F40" s="409"/>
      <c r="G40" s="409"/>
      <c r="H40" s="409"/>
      <c r="I40" s="409"/>
      <c r="J40" s="409"/>
      <c r="K40" s="409"/>
      <c r="L40" s="409"/>
      <c r="M40" s="409"/>
      <c r="N40" s="410"/>
      <c r="O40" s="1"/>
    </row>
    <row r="41" spans="1:37" s="2" customFormat="1" ht="25.05" customHeight="1" x14ac:dyDescent="0.3">
      <c r="A41" s="1"/>
      <c r="B41" s="408" t="s">
        <v>94</v>
      </c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09"/>
      <c r="N41" s="410"/>
      <c r="O41" s="1"/>
    </row>
    <row r="42" spans="1:37" s="2" customFormat="1" ht="25.05" customHeight="1" x14ac:dyDescent="0.3">
      <c r="A42" s="1"/>
      <c r="B42" s="408" t="s">
        <v>93</v>
      </c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10"/>
      <c r="O42" s="1"/>
    </row>
    <row r="43" spans="1:37" s="2" customFormat="1" ht="25.05" customHeight="1" x14ac:dyDescent="0.3">
      <c r="A43" s="1"/>
      <c r="B43" s="408" t="s">
        <v>92</v>
      </c>
      <c r="C43" s="409"/>
      <c r="D43" s="409"/>
      <c r="E43" s="409"/>
      <c r="F43" s="409"/>
      <c r="G43" s="409"/>
      <c r="H43" s="409"/>
      <c r="I43" s="409"/>
      <c r="J43" s="409"/>
      <c r="K43" s="409"/>
      <c r="L43" s="409"/>
      <c r="M43" s="409"/>
      <c r="N43" s="410"/>
      <c r="O43" s="1"/>
    </row>
    <row r="44" spans="1:37" s="2" customFormat="1" ht="25.05" customHeight="1" x14ac:dyDescent="0.3">
      <c r="A44" s="1"/>
      <c r="B44" s="408" t="s">
        <v>89</v>
      </c>
      <c r="C44" s="409"/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10"/>
      <c r="O44" s="1"/>
      <c r="P44" s="1"/>
    </row>
    <row r="45" spans="1:37" s="2" customFormat="1" ht="25.05" customHeight="1" x14ac:dyDescent="0.3">
      <c r="A45" s="1"/>
      <c r="B45" s="408" t="s">
        <v>90</v>
      </c>
      <c r="C45" s="409"/>
      <c r="D45" s="409"/>
      <c r="E45" s="409"/>
      <c r="F45" s="409"/>
      <c r="G45" s="409"/>
      <c r="H45" s="409"/>
      <c r="I45" s="409"/>
      <c r="J45" s="409"/>
      <c r="K45" s="409"/>
      <c r="L45" s="409"/>
      <c r="M45" s="409"/>
      <c r="N45" s="410"/>
      <c r="O45" s="1"/>
    </row>
    <row r="46" spans="1:37" s="2" customFormat="1" ht="25.05" customHeight="1" x14ac:dyDescent="0.3">
      <c r="A46" s="1"/>
      <c r="B46" s="408" t="s">
        <v>91</v>
      </c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09"/>
      <c r="N46" s="410"/>
      <c r="O46" s="1"/>
    </row>
    <row r="47" spans="1:37" s="2" customFormat="1" ht="25.05" customHeight="1" x14ac:dyDescent="0.3">
      <c r="A47" s="1"/>
      <c r="B47" s="408" t="s">
        <v>88</v>
      </c>
      <c r="C47" s="409"/>
      <c r="D47" s="409"/>
      <c r="E47" s="409"/>
      <c r="F47" s="409"/>
      <c r="G47" s="409"/>
      <c r="H47" s="409"/>
      <c r="I47" s="409"/>
      <c r="J47" s="409"/>
      <c r="K47" s="409"/>
      <c r="L47" s="409"/>
      <c r="M47" s="409"/>
      <c r="N47" s="410"/>
      <c r="O47" s="1"/>
    </row>
    <row r="48" spans="1:37" s="2" customFormat="1" ht="25.05" customHeight="1" x14ac:dyDescent="0.3">
      <c r="A48" s="1"/>
      <c r="B48" s="408" t="s">
        <v>87</v>
      </c>
      <c r="C48" s="409"/>
      <c r="D48" s="409"/>
      <c r="E48" s="409"/>
      <c r="F48" s="409"/>
      <c r="G48" s="409"/>
      <c r="H48" s="409"/>
      <c r="I48" s="409"/>
      <c r="J48" s="409"/>
      <c r="K48" s="409"/>
      <c r="L48" s="409"/>
      <c r="M48" s="409"/>
      <c r="N48" s="410"/>
      <c r="O48" s="1"/>
    </row>
    <row r="49" spans="1:15" s="2" customFormat="1" ht="25.05" customHeight="1" x14ac:dyDescent="0.3">
      <c r="A49" s="1"/>
      <c r="B49" s="408" t="s">
        <v>86</v>
      </c>
      <c r="C49" s="409"/>
      <c r="D49" s="409"/>
      <c r="E49" s="409"/>
      <c r="F49" s="409"/>
      <c r="G49" s="409"/>
      <c r="H49" s="409"/>
      <c r="I49" s="409"/>
      <c r="J49" s="409"/>
      <c r="K49" s="409"/>
      <c r="L49" s="409"/>
      <c r="M49" s="409"/>
      <c r="N49" s="410"/>
      <c r="O49" s="1"/>
    </row>
    <row r="50" spans="1:15" s="2" customFormat="1" ht="25.05" customHeight="1" x14ac:dyDescent="0.3">
      <c r="A50" s="1"/>
      <c r="B50" s="408" t="s">
        <v>85</v>
      </c>
      <c r="C50" s="409"/>
      <c r="D50" s="409"/>
      <c r="E50" s="409"/>
      <c r="F50" s="409"/>
      <c r="G50" s="409"/>
      <c r="H50" s="409"/>
      <c r="I50" s="409"/>
      <c r="J50" s="409"/>
      <c r="K50" s="409"/>
      <c r="L50" s="409"/>
      <c r="M50" s="409"/>
      <c r="N50" s="410"/>
      <c r="O50" s="1"/>
    </row>
    <row r="51" spans="1:15" s="2" customFormat="1" ht="25.05" customHeight="1" x14ac:dyDescent="0.3">
      <c r="A51" s="1"/>
      <c r="B51" s="408" t="s">
        <v>84</v>
      </c>
      <c r="C51" s="409"/>
      <c r="D51" s="409"/>
      <c r="E51" s="409"/>
      <c r="F51" s="409"/>
      <c r="G51" s="409"/>
      <c r="H51" s="409"/>
      <c r="I51" s="409"/>
      <c r="J51" s="409"/>
      <c r="K51" s="409"/>
      <c r="L51" s="409"/>
      <c r="M51" s="409"/>
      <c r="N51" s="410"/>
      <c r="O51" s="1"/>
    </row>
    <row r="52" spans="1:15" s="2" customFormat="1" ht="25.05" customHeight="1" x14ac:dyDescent="0.3">
      <c r="A52" s="1"/>
      <c r="B52" s="408" t="s">
        <v>83</v>
      </c>
      <c r="C52" s="409"/>
      <c r="D52" s="409"/>
      <c r="E52" s="409"/>
      <c r="F52" s="409"/>
      <c r="G52" s="409"/>
      <c r="H52" s="409"/>
      <c r="I52" s="409"/>
      <c r="J52" s="409"/>
      <c r="K52" s="409"/>
      <c r="L52" s="409"/>
      <c r="M52" s="409"/>
      <c r="N52" s="410"/>
      <c r="O52" s="1"/>
    </row>
    <row r="53" spans="1:15" s="2" customFormat="1" ht="25.05" customHeight="1" thickBot="1" x14ac:dyDescent="0.35">
      <c r="A53" s="1"/>
      <c r="B53" s="454" t="s">
        <v>82</v>
      </c>
      <c r="C53" s="455"/>
      <c r="D53" s="455"/>
      <c r="E53" s="455"/>
      <c r="F53" s="455"/>
      <c r="G53" s="455"/>
      <c r="H53" s="455"/>
      <c r="I53" s="455"/>
      <c r="J53" s="455"/>
      <c r="K53" s="455"/>
      <c r="L53" s="455"/>
      <c r="M53" s="455"/>
      <c r="N53" s="456"/>
      <c r="O53" s="1"/>
    </row>
    <row r="54" spans="1:15" s="2" customFormat="1" ht="25.05" customHeight="1" thickTop="1" thickBot="1" x14ac:dyDescent="0.35">
      <c r="A54" s="1"/>
    </row>
    <row r="55" spans="1:15" s="2" customFormat="1" ht="25.05" customHeight="1" thickTop="1" x14ac:dyDescent="0.3">
      <c r="A55" s="33"/>
      <c r="B55" s="430" t="s">
        <v>65</v>
      </c>
      <c r="C55" s="431"/>
      <c r="D55" s="431"/>
      <c r="E55" s="431"/>
      <c r="F55" s="431"/>
      <c r="G55" s="431"/>
      <c r="H55" s="431"/>
      <c r="I55" s="431"/>
      <c r="J55" s="431"/>
      <c r="K55" s="431"/>
      <c r="L55" s="431"/>
      <c r="M55" s="431"/>
      <c r="N55" s="431"/>
      <c r="O55" s="432"/>
    </row>
    <row r="56" spans="1:15" s="2" customFormat="1" ht="25.05" customHeight="1" x14ac:dyDescent="0.3">
      <c r="A56" s="33"/>
      <c r="B56" s="427" t="s">
        <v>159</v>
      </c>
      <c r="C56" s="427"/>
      <c r="D56" s="427"/>
      <c r="E56" s="427"/>
      <c r="F56" s="427"/>
      <c r="G56" s="427"/>
      <c r="H56" s="427"/>
      <c r="I56" s="427"/>
      <c r="J56" s="427"/>
      <c r="K56" s="427"/>
      <c r="L56" s="427"/>
      <c r="M56" s="427"/>
      <c r="N56" s="428"/>
      <c r="O56" s="429" t="s">
        <v>16</v>
      </c>
    </row>
    <row r="57" spans="1:15" s="2" customFormat="1" ht="25.05" customHeight="1" x14ac:dyDescent="0.3">
      <c r="A57" s="33"/>
      <c r="B57" s="427"/>
      <c r="C57" s="427"/>
      <c r="D57" s="427"/>
      <c r="E57" s="427"/>
      <c r="F57" s="427"/>
      <c r="G57" s="427"/>
      <c r="H57" s="427"/>
      <c r="I57" s="427"/>
      <c r="J57" s="427"/>
      <c r="K57" s="427"/>
      <c r="L57" s="427"/>
      <c r="M57" s="427"/>
      <c r="N57" s="428"/>
      <c r="O57" s="429"/>
    </row>
    <row r="58" spans="1:15" s="2" customFormat="1" ht="25.05" customHeight="1" x14ac:dyDescent="0.3">
      <c r="A58" s="33"/>
      <c r="B58" s="427" t="s">
        <v>160</v>
      </c>
      <c r="C58" s="427"/>
      <c r="D58" s="427"/>
      <c r="E58" s="427"/>
      <c r="F58" s="427"/>
      <c r="G58" s="427"/>
      <c r="H58" s="427"/>
      <c r="I58" s="427"/>
      <c r="J58" s="427"/>
      <c r="K58" s="427"/>
      <c r="L58" s="427"/>
      <c r="M58" s="427"/>
      <c r="N58" s="428"/>
      <c r="O58" s="429" t="s">
        <v>16</v>
      </c>
    </row>
    <row r="59" spans="1:15" s="2" customFormat="1" ht="25.05" customHeight="1" x14ac:dyDescent="0.3">
      <c r="A59" s="33"/>
      <c r="B59" s="427"/>
      <c r="C59" s="427"/>
      <c r="D59" s="427"/>
      <c r="E59" s="427"/>
      <c r="F59" s="427"/>
      <c r="G59" s="427"/>
      <c r="H59" s="427"/>
      <c r="I59" s="427"/>
      <c r="J59" s="427"/>
      <c r="K59" s="427"/>
      <c r="L59" s="427"/>
      <c r="M59" s="427"/>
      <c r="N59" s="428"/>
      <c r="O59" s="429"/>
    </row>
    <row r="60" spans="1:15" s="2" customFormat="1" ht="25.05" customHeight="1" x14ac:dyDescent="0.3">
      <c r="A60" s="33"/>
      <c r="B60" s="427" t="s">
        <v>156</v>
      </c>
      <c r="C60" s="427"/>
      <c r="D60" s="427"/>
      <c r="E60" s="427"/>
      <c r="F60" s="427"/>
      <c r="G60" s="427"/>
      <c r="H60" s="427"/>
      <c r="I60" s="427"/>
      <c r="J60" s="427"/>
      <c r="K60" s="427"/>
      <c r="L60" s="427"/>
      <c r="M60" s="427"/>
      <c r="N60" s="428"/>
      <c r="O60" s="429" t="s">
        <v>16</v>
      </c>
    </row>
    <row r="61" spans="1:15" s="2" customFormat="1" ht="25.05" customHeight="1" x14ac:dyDescent="0.3">
      <c r="A61" s="33"/>
      <c r="B61" s="427"/>
      <c r="C61" s="427"/>
      <c r="D61" s="427"/>
      <c r="E61" s="427"/>
      <c r="F61" s="427"/>
      <c r="G61" s="427"/>
      <c r="H61" s="427"/>
      <c r="I61" s="427"/>
      <c r="J61" s="427"/>
      <c r="K61" s="427"/>
      <c r="L61" s="427"/>
      <c r="M61" s="427"/>
      <c r="N61" s="428"/>
      <c r="O61" s="429"/>
    </row>
    <row r="62" spans="1:15" s="2" customFormat="1" ht="25.05" customHeight="1" x14ac:dyDescent="0.3">
      <c r="A62" s="33"/>
      <c r="B62" s="427" t="s">
        <v>158</v>
      </c>
      <c r="C62" s="427"/>
      <c r="D62" s="427"/>
      <c r="E62" s="427"/>
      <c r="F62" s="427"/>
      <c r="G62" s="427"/>
      <c r="H62" s="427"/>
      <c r="I62" s="427"/>
      <c r="J62" s="427"/>
      <c r="K62" s="427"/>
      <c r="L62" s="427"/>
      <c r="M62" s="427"/>
      <c r="N62" s="428"/>
      <c r="O62" s="429" t="s">
        <v>16</v>
      </c>
    </row>
    <row r="63" spans="1:15" s="2" customFormat="1" ht="25.05" customHeight="1" x14ac:dyDescent="0.3">
      <c r="A63" s="33"/>
      <c r="B63" s="427"/>
      <c r="C63" s="427"/>
      <c r="D63" s="427"/>
      <c r="E63" s="427"/>
      <c r="F63" s="427"/>
      <c r="G63" s="427"/>
      <c r="H63" s="427"/>
      <c r="I63" s="427"/>
      <c r="J63" s="427"/>
      <c r="K63" s="427"/>
      <c r="L63" s="427"/>
      <c r="M63" s="427"/>
      <c r="N63" s="428"/>
      <c r="O63" s="429"/>
    </row>
    <row r="64" spans="1:15" s="2" customFormat="1" ht="25.05" customHeight="1" x14ac:dyDescent="0.3">
      <c r="A64" s="33"/>
      <c r="B64" s="427" t="s">
        <v>157</v>
      </c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8"/>
      <c r="O64" s="429" t="s">
        <v>16</v>
      </c>
    </row>
    <row r="65" spans="1:15" s="2" customFormat="1" ht="25.05" customHeight="1" x14ac:dyDescent="0.3">
      <c r="A65" s="33"/>
      <c r="B65" s="427"/>
      <c r="C65" s="427"/>
      <c r="D65" s="427"/>
      <c r="E65" s="427"/>
      <c r="F65" s="427"/>
      <c r="G65" s="427"/>
      <c r="H65" s="427"/>
      <c r="I65" s="427"/>
      <c r="J65" s="427"/>
      <c r="K65" s="427"/>
      <c r="L65" s="427"/>
      <c r="M65" s="427"/>
      <c r="N65" s="428"/>
      <c r="O65" s="429"/>
    </row>
    <row r="66" spans="1:15" s="2" customFormat="1" ht="25.05" customHeight="1" x14ac:dyDescent="0.3">
      <c r="A66" s="33"/>
      <c r="B66" s="427" t="s">
        <v>161</v>
      </c>
      <c r="C66" s="427"/>
      <c r="D66" s="427"/>
      <c r="E66" s="427"/>
      <c r="F66" s="427"/>
      <c r="G66" s="427"/>
      <c r="H66" s="427"/>
      <c r="I66" s="427"/>
      <c r="J66" s="427"/>
      <c r="K66" s="427"/>
      <c r="L66" s="427"/>
      <c r="M66" s="427"/>
      <c r="N66" s="428"/>
      <c r="O66" s="429" t="s">
        <v>16</v>
      </c>
    </row>
    <row r="67" spans="1:15" s="2" customFormat="1" ht="25.05" customHeight="1" x14ac:dyDescent="0.3">
      <c r="A67" s="33"/>
      <c r="B67" s="427"/>
      <c r="C67" s="427"/>
      <c r="D67" s="427"/>
      <c r="E67" s="427"/>
      <c r="F67" s="427"/>
      <c r="G67" s="427"/>
      <c r="H67" s="427"/>
      <c r="I67" s="427"/>
      <c r="J67" s="427"/>
      <c r="K67" s="427"/>
      <c r="L67" s="427"/>
      <c r="M67" s="427"/>
      <c r="N67" s="428"/>
      <c r="O67" s="429"/>
    </row>
    <row r="68" spans="1:15" s="2" customFormat="1" ht="25.05" customHeight="1" x14ac:dyDescent="0.3">
      <c r="A68" s="33"/>
      <c r="B68" s="427" t="s">
        <v>162</v>
      </c>
      <c r="C68" s="427"/>
      <c r="D68" s="427"/>
      <c r="E68" s="427"/>
      <c r="F68" s="427"/>
      <c r="G68" s="427"/>
      <c r="H68" s="427"/>
      <c r="I68" s="427"/>
      <c r="J68" s="427"/>
      <c r="K68" s="427"/>
      <c r="L68" s="427"/>
      <c r="M68" s="427"/>
      <c r="N68" s="428"/>
      <c r="O68" s="429" t="s">
        <v>16</v>
      </c>
    </row>
    <row r="69" spans="1:15" s="2" customFormat="1" ht="25.05" customHeight="1" x14ac:dyDescent="0.3">
      <c r="A69" s="33"/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8"/>
      <c r="O69" s="429"/>
    </row>
    <row r="70" spans="1:15" s="2" customFormat="1" ht="25.05" customHeight="1" x14ac:dyDescent="0.3">
      <c r="A70" s="33"/>
      <c r="B70" s="427" t="s">
        <v>163</v>
      </c>
      <c r="C70" s="427"/>
      <c r="D70" s="427"/>
      <c r="E70" s="427"/>
      <c r="F70" s="427"/>
      <c r="G70" s="427"/>
      <c r="H70" s="427"/>
      <c r="I70" s="427"/>
      <c r="J70" s="427"/>
      <c r="K70" s="427"/>
      <c r="L70" s="427"/>
      <c r="M70" s="427"/>
      <c r="N70" s="428"/>
      <c r="O70" s="429" t="s">
        <v>16</v>
      </c>
    </row>
    <row r="71" spans="1:15" s="2" customFormat="1" ht="25.05" customHeight="1" x14ac:dyDescent="0.3">
      <c r="A71" s="33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8"/>
      <c r="O71" s="429"/>
    </row>
    <row r="72" spans="1:15" s="2" customFormat="1" ht="25.05" customHeight="1" x14ac:dyDescent="0.3">
      <c r="A72" s="33"/>
      <c r="B72" s="447" t="s">
        <v>164</v>
      </c>
      <c r="C72" s="448"/>
      <c r="D72" s="448"/>
      <c r="E72" s="448"/>
      <c r="F72" s="448"/>
      <c r="G72" s="448"/>
      <c r="H72" s="448"/>
      <c r="I72" s="448"/>
      <c r="J72" s="448"/>
      <c r="K72" s="448"/>
      <c r="L72" s="448"/>
      <c r="M72" s="448"/>
      <c r="N72" s="449"/>
      <c r="O72" s="429" t="s">
        <v>16</v>
      </c>
    </row>
    <row r="73" spans="1:15" s="2" customFormat="1" ht="25.05" customHeight="1" thickBot="1" x14ac:dyDescent="0.35">
      <c r="A73" s="33"/>
      <c r="B73" s="450"/>
      <c r="C73" s="451"/>
      <c r="D73" s="451"/>
      <c r="E73" s="451"/>
      <c r="F73" s="451"/>
      <c r="G73" s="451"/>
      <c r="H73" s="451"/>
      <c r="I73" s="451"/>
      <c r="J73" s="451"/>
      <c r="K73" s="451"/>
      <c r="L73" s="451"/>
      <c r="M73" s="451"/>
      <c r="N73" s="452"/>
      <c r="O73" s="429"/>
    </row>
    <row r="74" spans="1:15" ht="25.05" customHeight="1" thickTop="1" thickBot="1" x14ac:dyDescent="0.35">
      <c r="O74" s="51"/>
    </row>
    <row r="75" spans="1:15" ht="22.05" customHeight="1" x14ac:dyDescent="0.3">
      <c r="B75" s="444" t="s">
        <v>66</v>
      </c>
      <c r="C75" s="445"/>
      <c r="D75" s="445"/>
      <c r="E75" s="445"/>
      <c r="F75" s="445"/>
      <c r="G75" s="445"/>
      <c r="H75" s="445"/>
      <c r="I75" s="445"/>
      <c r="J75" s="445"/>
      <c r="K75" s="445"/>
      <c r="L75" s="445"/>
      <c r="M75" s="445"/>
      <c r="N75" s="445"/>
      <c r="O75" s="446"/>
    </row>
    <row r="76" spans="1:15" ht="15" customHeight="1" x14ac:dyDescent="0.3">
      <c r="B76" s="457" t="s">
        <v>67</v>
      </c>
      <c r="C76" s="458"/>
      <c r="D76" s="458"/>
      <c r="E76" s="458"/>
      <c r="F76" s="479" t="s">
        <v>140</v>
      </c>
      <c r="G76" s="479"/>
      <c r="H76" s="479"/>
      <c r="I76" s="479"/>
      <c r="J76" s="479"/>
      <c r="K76" s="479"/>
      <c r="L76" s="479"/>
      <c r="M76" s="479"/>
      <c r="N76" s="479"/>
      <c r="O76" s="480"/>
    </row>
    <row r="77" spans="1:15" ht="15" customHeight="1" x14ac:dyDescent="0.3">
      <c r="B77" s="457" t="s">
        <v>68</v>
      </c>
      <c r="C77" s="458"/>
      <c r="D77" s="458"/>
      <c r="E77" s="458"/>
      <c r="F77" s="479" t="s">
        <v>248</v>
      </c>
      <c r="G77" s="479"/>
      <c r="H77" s="479"/>
      <c r="I77" s="479"/>
      <c r="J77" s="479"/>
      <c r="K77" s="479"/>
      <c r="L77" s="479"/>
      <c r="M77" s="479"/>
      <c r="N77" s="479"/>
      <c r="O77" s="480"/>
    </row>
    <row r="78" spans="1:15" ht="15" customHeight="1" x14ac:dyDescent="0.3">
      <c r="B78" s="457" t="s">
        <v>69</v>
      </c>
      <c r="C78" s="458"/>
      <c r="D78" s="458"/>
      <c r="E78" s="458"/>
      <c r="F78" s="481" t="s">
        <v>188</v>
      </c>
      <c r="G78" s="479"/>
      <c r="H78" s="479"/>
      <c r="I78" s="479"/>
      <c r="J78" s="479"/>
      <c r="K78" s="479"/>
      <c r="L78" s="479"/>
      <c r="M78" s="479"/>
      <c r="N78" s="479"/>
      <c r="O78" s="480"/>
    </row>
    <row r="79" spans="1:15" ht="15" customHeight="1" x14ac:dyDescent="0.3">
      <c r="B79" s="457" t="s">
        <v>70</v>
      </c>
      <c r="C79" s="458"/>
      <c r="D79" s="458"/>
      <c r="E79" s="458"/>
      <c r="F79" s="479" t="s">
        <v>71</v>
      </c>
      <c r="G79" s="479"/>
      <c r="H79" s="479"/>
      <c r="I79" s="479"/>
      <c r="J79" s="479"/>
      <c r="K79" s="479"/>
      <c r="L79" s="479"/>
      <c r="M79" s="479"/>
      <c r="N79" s="479"/>
      <c r="O79" s="480"/>
    </row>
    <row r="80" spans="1:15" ht="15" customHeight="1" x14ac:dyDescent="0.3">
      <c r="B80" s="457" t="s">
        <v>72</v>
      </c>
      <c r="C80" s="458"/>
      <c r="D80" s="458"/>
      <c r="E80" s="458"/>
      <c r="F80" s="459" t="s">
        <v>73</v>
      </c>
      <c r="G80" s="459"/>
      <c r="H80" s="459"/>
      <c r="I80" s="459"/>
      <c r="J80" s="459"/>
      <c r="K80" s="459"/>
      <c r="L80" s="459"/>
      <c r="M80" s="459"/>
      <c r="N80" s="459"/>
      <c r="O80" s="482"/>
    </row>
    <row r="81" spans="2:15" ht="15" customHeight="1" x14ac:dyDescent="0.3">
      <c r="B81" s="457" t="s">
        <v>74</v>
      </c>
      <c r="C81" s="458"/>
      <c r="D81" s="458"/>
      <c r="E81" s="458"/>
      <c r="F81" s="479" t="s">
        <v>75</v>
      </c>
      <c r="G81" s="479"/>
      <c r="H81" s="479"/>
      <c r="I81" s="479"/>
      <c r="J81" s="479"/>
      <c r="K81" s="479"/>
      <c r="L81" s="479"/>
      <c r="M81" s="479"/>
      <c r="N81" s="479"/>
      <c r="O81" s="480"/>
    </row>
    <row r="82" spans="2:15" ht="15" customHeight="1" x14ac:dyDescent="0.3">
      <c r="B82" s="457" t="s">
        <v>76</v>
      </c>
      <c r="C82" s="458"/>
      <c r="D82" s="458"/>
      <c r="E82" s="458"/>
      <c r="F82" s="459" t="s">
        <v>189</v>
      </c>
      <c r="G82" s="460"/>
      <c r="H82" s="460"/>
      <c r="I82" s="460"/>
      <c r="J82" s="460"/>
      <c r="K82" s="460"/>
      <c r="L82" s="460"/>
      <c r="M82" s="460"/>
      <c r="N82" s="460"/>
      <c r="O82" s="461"/>
    </row>
    <row r="83" spans="2:15" ht="15" customHeight="1" x14ac:dyDescent="0.3">
      <c r="B83" s="457" t="s">
        <v>77</v>
      </c>
      <c r="C83" s="458"/>
      <c r="D83" s="458"/>
      <c r="E83" s="458"/>
      <c r="F83" s="459" t="s">
        <v>190</v>
      </c>
      <c r="G83" s="460"/>
      <c r="H83" s="460"/>
      <c r="I83" s="460"/>
      <c r="J83" s="460"/>
      <c r="K83" s="460"/>
      <c r="L83" s="460"/>
      <c r="M83" s="460"/>
      <c r="N83" s="460"/>
      <c r="O83" s="461"/>
    </row>
    <row r="84" spans="2:15" ht="30" customHeight="1" thickBot="1" x14ac:dyDescent="0.35">
      <c r="B84" s="462" t="s">
        <v>78</v>
      </c>
      <c r="C84" s="463"/>
      <c r="D84" s="463"/>
      <c r="E84" s="463"/>
      <c r="F84" s="464" t="s">
        <v>79</v>
      </c>
      <c r="G84" s="464"/>
      <c r="H84" s="464"/>
      <c r="I84" s="464"/>
      <c r="J84" s="464"/>
      <c r="K84" s="464"/>
      <c r="L84" s="464"/>
      <c r="M84" s="464"/>
      <c r="N84" s="464"/>
      <c r="O84" s="465"/>
    </row>
    <row r="85" spans="2:15" ht="25.0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</row>
  </sheetData>
  <mergeCells count="144">
    <mergeCell ref="B2:C3"/>
    <mergeCell ref="B31:N31"/>
    <mergeCell ref="B32:N32"/>
    <mergeCell ref="B33:N33"/>
    <mergeCell ref="B34:N34"/>
    <mergeCell ref="B10:B11"/>
    <mergeCell ref="E10:E11"/>
    <mergeCell ref="H10:H11"/>
    <mergeCell ref="I10:I11"/>
    <mergeCell ref="D10:D11"/>
    <mergeCell ref="N10:N11"/>
    <mergeCell ref="B27:U29"/>
    <mergeCell ref="H8:O8"/>
    <mergeCell ref="T18:U18"/>
    <mergeCell ref="P13:Q13"/>
    <mergeCell ref="T13:U13"/>
    <mergeCell ref="P14:Q14"/>
    <mergeCell ref="T14:U14"/>
    <mergeCell ref="P15:Q15"/>
    <mergeCell ref="T15:U15"/>
    <mergeCell ref="P16:Q16"/>
    <mergeCell ref="T16:U16"/>
    <mergeCell ref="P17:Q17"/>
    <mergeCell ref="T17:U17"/>
    <mergeCell ref="B5:F5"/>
    <mergeCell ref="B6:F6"/>
    <mergeCell ref="B7:F7"/>
    <mergeCell ref="B8:F8"/>
    <mergeCell ref="F10:G10"/>
    <mergeCell ref="H5:O6"/>
    <mergeCell ref="J10:J11"/>
    <mergeCell ref="K10:K11"/>
    <mergeCell ref="L10:L11"/>
    <mergeCell ref="M10:M11"/>
    <mergeCell ref="AL10:AM10"/>
    <mergeCell ref="P12:Q12"/>
    <mergeCell ref="T12:U12"/>
    <mergeCell ref="P10:Q11"/>
    <mergeCell ref="R10:R11"/>
    <mergeCell ref="S10:S11"/>
    <mergeCell ref="T10:U11"/>
    <mergeCell ref="V10:W10"/>
    <mergeCell ref="Z10:AA10"/>
    <mergeCell ref="AD10:AE10"/>
    <mergeCell ref="AH10:AI10"/>
    <mergeCell ref="T19:U19"/>
    <mergeCell ref="P20:Q20"/>
    <mergeCell ref="T20:U20"/>
    <mergeCell ref="P21:Q21"/>
    <mergeCell ref="T21:U21"/>
    <mergeCell ref="P22:Q22"/>
    <mergeCell ref="T22:U22"/>
    <mergeCell ref="P26:Q26"/>
    <mergeCell ref="T26:U26"/>
    <mergeCell ref="T23:U23"/>
    <mergeCell ref="T24:U24"/>
    <mergeCell ref="P25:Q25"/>
    <mergeCell ref="T25:U25"/>
    <mergeCell ref="Z27:AA27"/>
    <mergeCell ref="AD27:AE27"/>
    <mergeCell ref="AH27:AI27"/>
    <mergeCell ref="AL27:AM27"/>
    <mergeCell ref="V28:W28"/>
    <mergeCell ref="Z28:AA28"/>
    <mergeCell ref="AD28:AE28"/>
    <mergeCell ref="AH28:AI28"/>
    <mergeCell ref="AL28:AM28"/>
    <mergeCell ref="V27:W27"/>
    <mergeCell ref="V29:W29"/>
    <mergeCell ref="AJ29:AK29"/>
    <mergeCell ref="AL29:AM29"/>
    <mergeCell ref="AN29:AO29"/>
    <mergeCell ref="X29:Y29"/>
    <mergeCell ref="Z29:AA29"/>
    <mergeCell ref="AB29:AC29"/>
    <mergeCell ref="AD29:AE29"/>
    <mergeCell ref="AF29:AG29"/>
    <mergeCell ref="AH29:AI29"/>
    <mergeCell ref="B83:E83"/>
    <mergeCell ref="F83:O83"/>
    <mergeCell ref="B84:E84"/>
    <mergeCell ref="F84:O84"/>
    <mergeCell ref="O60:O61"/>
    <mergeCell ref="B62:N63"/>
    <mergeCell ref="O62:O63"/>
    <mergeCell ref="B64:N65"/>
    <mergeCell ref="O64:O65"/>
    <mergeCell ref="B68:N69"/>
    <mergeCell ref="B82:E82"/>
    <mergeCell ref="F82:O82"/>
    <mergeCell ref="B66:N67"/>
    <mergeCell ref="O66:O67"/>
    <mergeCell ref="O68:O69"/>
    <mergeCell ref="B79:E79"/>
    <mergeCell ref="B60:N61"/>
    <mergeCell ref="F79:O79"/>
    <mergeCell ref="B80:E80"/>
    <mergeCell ref="F80:O80"/>
    <mergeCell ref="B81:E81"/>
    <mergeCell ref="F81:O81"/>
    <mergeCell ref="B75:O75"/>
    <mergeCell ref="B76:E76"/>
    <mergeCell ref="D2:N2"/>
    <mergeCell ref="D3:N3"/>
    <mergeCell ref="B70:N71"/>
    <mergeCell ref="O70:O71"/>
    <mergeCell ref="C10:C11"/>
    <mergeCell ref="P23:Q23"/>
    <mergeCell ref="B44:N44"/>
    <mergeCell ref="B45:N45"/>
    <mergeCell ref="B46:N46"/>
    <mergeCell ref="B47:N47"/>
    <mergeCell ref="B40:N40"/>
    <mergeCell ref="B41:N41"/>
    <mergeCell ref="B42:N42"/>
    <mergeCell ref="B43:N43"/>
    <mergeCell ref="B50:N50"/>
    <mergeCell ref="B51:N51"/>
    <mergeCell ref="B52:N52"/>
    <mergeCell ref="B53:N53"/>
    <mergeCell ref="B35:N35"/>
    <mergeCell ref="B36:N36"/>
    <mergeCell ref="B37:N37"/>
    <mergeCell ref="P18:Q18"/>
    <mergeCell ref="O10:O11"/>
    <mergeCell ref="H7:O7"/>
    <mergeCell ref="B38:N38"/>
    <mergeCell ref="B39:N39"/>
    <mergeCell ref="P19:Q19"/>
    <mergeCell ref="B48:N48"/>
    <mergeCell ref="B49:N49"/>
    <mergeCell ref="B78:E78"/>
    <mergeCell ref="F78:O78"/>
    <mergeCell ref="B72:N73"/>
    <mergeCell ref="O72:O73"/>
    <mergeCell ref="P24:Q24"/>
    <mergeCell ref="B55:O55"/>
    <mergeCell ref="B56:N57"/>
    <mergeCell ref="O56:O57"/>
    <mergeCell ref="B58:N59"/>
    <mergeCell ref="O58:O59"/>
    <mergeCell ref="F76:O76"/>
    <mergeCell ref="B77:E77"/>
    <mergeCell ref="F77:O77"/>
  </mergeCells>
  <dataValidations count="1">
    <dataValidation type="list" allowBlank="1" showInputMessage="1" showErrorMessage="1" sqref="G5" xr:uid="{17464940-0AF4-4314-8FBC-C4BDC9871316}">
      <formula1>$P$5:$P$6</formula1>
    </dataValidation>
  </dataValidations>
  <hyperlinks>
    <hyperlink ref="O58:O59" r:id="rId1" display="Link" xr:uid="{9C56D80F-4110-407E-B8FC-E5CF07A74961}"/>
    <hyperlink ref="O60:O61" r:id="rId2" display="Link" xr:uid="{8B58661C-F5BC-482F-91B3-E4E189FA813C}"/>
    <hyperlink ref="O64:O65" r:id="rId3" display="Link" xr:uid="{A6233D26-D077-46F6-9A1D-E4A61026AA0B}"/>
    <hyperlink ref="O66:O67" r:id="rId4" display="Link" xr:uid="{87CF988C-8B0F-4AE8-9239-B7CD7E1DA90D}"/>
    <hyperlink ref="O70:O71" r:id="rId5" display="Link" xr:uid="{6F83F816-7708-48C2-AF36-1261C35D0820}"/>
    <hyperlink ref="O62:O63" r:id="rId6" display="Link" xr:uid="{56441A1D-293B-40F3-984B-F6F0B22673F5}"/>
    <hyperlink ref="O72:O73" r:id="rId7" display="Link" xr:uid="{389432B8-2B23-4CD4-90B0-BBE1365D5114}"/>
    <hyperlink ref="O56:O57" r:id="rId8" display="Link" xr:uid="{0E452658-B103-4FFE-B6CE-E16DE13E9812}"/>
    <hyperlink ref="O68:O69" r:id="rId9" display="Link" xr:uid="{4D670164-5F56-4B6D-B7F8-584358AFD2F0}"/>
    <hyperlink ref="B80" r:id="rId10" display="https://grupolabr.com/Team.html" xr:uid="{8D7674C6-9852-47F8-8B17-2A0A6779670D}"/>
    <hyperlink ref="F80" r:id="rId11" xr:uid="{E2E0D9B1-4E68-4626-8DE2-83438645AE13}"/>
    <hyperlink ref="F80:O80" r:id="rId12" display="https://orcid.org/0000-0002-7159-4593" xr:uid="{FE5DA695-D860-43A2-AC97-49BCE06980F7}"/>
    <hyperlink ref="F82" r:id="rId13" xr:uid="{A7142ABA-A3D0-49AC-98AA-1602558B4AC4}"/>
    <hyperlink ref="F83" r:id="rId14" xr:uid="{B7233BC8-39EE-4935-8FB8-93D65BC4FBD7}"/>
  </hyperlinks>
  <pageMargins left="0.7" right="0.7" top="0.75" bottom="0.75" header="0.3" footer="0.3"/>
  <pageSetup paperSize="9" orientation="portrait" r:id="rId15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EB52-DD0E-4011-B333-4174C62537AD}">
  <sheetPr>
    <tabColor rgb="FF0066FF"/>
    <pageSetUpPr fitToPage="1"/>
  </sheetPr>
  <dimension ref="B1:L69"/>
  <sheetViews>
    <sheetView showGridLines="0" showRowColHeaders="0" topLeftCell="D3" zoomScaleNormal="100" workbookViewId="0">
      <selection activeCell="L7" sqref="L7"/>
    </sheetView>
  </sheetViews>
  <sheetFormatPr defaultRowHeight="13.8" x14ac:dyDescent="0.3"/>
  <cols>
    <col min="1" max="1" width="1.77734375" style="1" customWidth="1"/>
    <col min="2" max="2" width="9.21875" style="1" customWidth="1"/>
    <col min="3" max="3" width="13.33203125" style="1" bestFit="1" customWidth="1"/>
    <col min="4" max="6" width="8.77734375" style="1" customWidth="1"/>
    <col min="7" max="12" width="20.77734375" style="1" customWidth="1"/>
    <col min="13" max="16384" width="8.88671875" style="1"/>
  </cols>
  <sheetData>
    <row r="1" spans="2:12" ht="4.95" customHeight="1" thickBot="1" x14ac:dyDescent="0.35"/>
    <row r="2" spans="2:12" ht="79.95" customHeight="1" thickTop="1" x14ac:dyDescent="0.3">
      <c r="B2" s="466"/>
      <c r="C2" s="467"/>
      <c r="D2" s="535" t="s">
        <v>139</v>
      </c>
      <c r="E2" s="536"/>
      <c r="F2" s="536"/>
      <c r="G2" s="536"/>
      <c r="H2" s="536"/>
      <c r="I2" s="536"/>
      <c r="J2" s="536"/>
      <c r="K2" s="537"/>
      <c r="L2" s="113"/>
    </row>
    <row r="3" spans="2:12" ht="37.950000000000003" customHeight="1" thickBot="1" x14ac:dyDescent="0.35">
      <c r="B3" s="468"/>
      <c r="C3" s="530"/>
      <c r="D3" s="538" t="s">
        <v>133</v>
      </c>
      <c r="E3" s="539"/>
      <c r="F3" s="539"/>
      <c r="G3" s="539"/>
      <c r="H3" s="539"/>
      <c r="I3" s="539"/>
      <c r="J3" s="539"/>
      <c r="K3" s="539"/>
      <c r="L3" s="113"/>
    </row>
    <row r="4" spans="2:12" ht="10.050000000000001" customHeight="1" thickTop="1" thickBot="1" x14ac:dyDescent="0.35">
      <c r="C4" s="534"/>
      <c r="D4" s="534"/>
      <c r="E4" s="534"/>
      <c r="F4" s="534"/>
      <c r="G4" s="534"/>
      <c r="H4" s="534"/>
      <c r="I4" s="534"/>
      <c r="J4" s="534"/>
      <c r="K4" s="114"/>
    </row>
    <row r="5" spans="2:12" ht="25.05" customHeight="1" thickTop="1" thickBot="1" x14ac:dyDescent="0.35">
      <c r="B5" s="115" t="s">
        <v>105</v>
      </c>
      <c r="C5" s="116" t="s">
        <v>143</v>
      </c>
      <c r="D5" s="116" t="s">
        <v>144</v>
      </c>
      <c r="E5" s="116" t="s">
        <v>109</v>
      </c>
      <c r="F5" s="116" t="s">
        <v>80</v>
      </c>
      <c r="G5" s="116" t="s">
        <v>28</v>
      </c>
      <c r="H5" s="116" t="s">
        <v>32</v>
      </c>
      <c r="I5" s="116" t="s">
        <v>31</v>
      </c>
      <c r="J5" s="116" t="s">
        <v>40</v>
      </c>
      <c r="K5" s="117" t="s">
        <v>33</v>
      </c>
    </row>
    <row r="6" spans="2:12" ht="15" customHeight="1" x14ac:dyDescent="0.3">
      <c r="B6" s="531" t="s">
        <v>110</v>
      </c>
      <c r="C6" s="118" t="str">
        <f>TRIM('Input Group 1'!B12)</f>
        <v>AMY</v>
      </c>
      <c r="D6" s="119" t="str">
        <f>'Input Group 1'!C12</f>
        <v>U/L</v>
      </c>
      <c r="E6" s="120">
        <f>'Input Group 1'!D12</f>
        <v>533</v>
      </c>
      <c r="F6" s="121" t="s">
        <v>0</v>
      </c>
      <c r="G6" s="122">
        <f>_xlfn.LET(_xlpm.x,'Input Group 1'!V12,_xlpm.ref,'Input Group 1'!F12,_xlpm.D,'Input Group 1'!O12,_xlpm.dp,IF('Input Group 1'!$E12="",3,'Input Group 1'!$E12),_xlpm.xr,ROUND(_xlpm.x,_xlpm.dp),_xlpm.lo,ROUND(_xlpm.ref-_xlpm.D,_xlpm.dp),_xlpm.hi,ROUND(_xlpm.ref+_xlpm.D,_xlpm.dp),IF(_xlpm.xr&gt;=_xlpm.ref,(_xlpm.xr-_xlpm.ref)/(_xlpm.hi-_xlpm.ref),(_xlpm.xr-_xlpm.ref)/(_xlpm.ref-_xlpm.lo)))</f>
        <v>-3.4</v>
      </c>
      <c r="H6" s="123">
        <f>_xlfn.LET(_xlpm.x,'Input Group 1'!Z12,_xlpm.ref,'Input Group 1'!F12,_xlpm.D,'Input Group 1'!O12,_xlpm.dp,IF('Input Group 1'!$E12="",3,'Input Group 1'!$E12),_xlpm.xr,ROUND(_xlpm.x,_xlpm.dp),_xlpm.lo,ROUND(_xlpm.ref-_xlpm.D,_xlpm.dp),_xlpm.hi,ROUND(_xlpm.ref+_xlpm.D,_xlpm.dp),IF(_xlpm.xr&gt;=_xlpm.ref,(_xlpm.xr-_xlpm.ref)/(_xlpm.hi-_xlpm.ref),(_xlpm.xr-_xlpm.ref)/(_xlpm.ref-_xlpm.lo)))</f>
        <v>-1.8</v>
      </c>
      <c r="I6" s="124">
        <f>_xlfn.LET(_xlpm.x,'Input Group 1'!AD12,_xlpm.ref,'Input Group 1'!F12,_xlpm.D,'Input Group 1'!O12,_xlpm.dp,IF('Input Group 1'!$E12="",3,'Input Group 1'!$E12),_xlpm.xr,ROUND(_xlpm.x,_xlpm.dp),_xlpm.lo,ROUND(_xlpm.ref-_xlpm.D,_xlpm.dp),_xlpm.hi,ROUND(_xlpm.ref+_xlpm.D,_xlpm.dp),IF(_xlpm.xr&gt;=_xlpm.ref,(_xlpm.xr-_xlpm.ref)/(_xlpm.hi-_xlpm.ref),(_xlpm.xr-_xlpm.ref)/(_xlpm.ref-_xlpm.lo)))</f>
        <v>0</v>
      </c>
      <c r="J6" s="125">
        <f>_xlfn.LET(_xlpm.x,'Input Group 1'!AH12,_xlpm.ref,'Input Group 1'!F12,_xlpm.D,'Input Group 1'!O12,_xlpm.dp,IF('Input Group 1'!$E12="",3,'Input Group 1'!$E12),_xlpm.xr,ROUND(_xlpm.x,_xlpm.dp),_xlpm.lo,ROUND(_xlpm.ref-_xlpm.D,_xlpm.dp),_xlpm.hi,ROUND(_xlpm.ref+_xlpm.D,_xlpm.dp),IF(_xlpm.xr&gt;=_xlpm.ref,(_xlpm.xr-_xlpm.ref)/(_xlpm.hi-_xlpm.ref),(_xlpm.xr-_xlpm.ref)/(_xlpm.ref-_xlpm.lo)))</f>
        <v>-0.4</v>
      </c>
      <c r="K6" s="126">
        <f>_xlfn.LET(_xlpm.x,'Input Group 1'!AL12,_xlpm.ref,'Input Group 1'!F12,_xlpm.D,'Input Group 1'!O12,_xlpm.dp,IF('Input Group 1'!$E12="",3,'Input Group 1'!$E12),_xlpm.xr,ROUND(_xlpm.x,_xlpm.dp),_xlpm.lo,ROUND(_xlpm.ref-_xlpm.D,_xlpm.dp),_xlpm.hi,ROUND(_xlpm.ref+_xlpm.D,_xlpm.dp),IF(_xlpm.xr&gt;=_xlpm.ref,(_xlpm.xr-_xlpm.ref)/(_xlpm.hi-_xlpm.ref),(_xlpm.xr-_xlpm.ref)/(_xlpm.ref-_xlpm.lo)))</f>
        <v>-0.4</v>
      </c>
      <c r="L6" s="87"/>
    </row>
    <row r="7" spans="2:12" ht="15" customHeight="1" x14ac:dyDescent="0.3">
      <c r="B7" s="532"/>
      <c r="C7" s="127" t="str">
        <f>TRIM('Input Group 1'!B12)</f>
        <v>AMY</v>
      </c>
      <c r="D7" s="119" t="str">
        <f>'Input Group 1'!C12</f>
        <v>U/L</v>
      </c>
      <c r="E7" s="120">
        <f>'Input Group 1'!D12</f>
        <v>533</v>
      </c>
      <c r="F7" s="121" t="s">
        <v>1</v>
      </c>
      <c r="G7" s="128">
        <f>_xlfn.LET(_xlpm.x,'Input Group 1'!W12,_xlpm.ref,'Input Group 1'!G12,_xlpm.D,'Input Group 1'!S12,_xlpm.dp,IF('Input Group 1'!$E12="",3,'Input Group 1'!$E12),_xlpm.xr,ROUND(_xlpm.x,_xlpm.dp),_xlpm.lo,ROUND(_xlpm.ref-_xlpm.D,_xlpm.dp),_xlpm.hi,ROUND(_xlpm.ref+_xlpm.D,_xlpm.dp),IF(_xlpm.xr&gt;=_xlpm.ref,(_xlpm.xr-_xlpm.ref)/(_xlpm.hi-_xlpm.ref),(_xlpm.xr-_xlpm.ref)/(_xlpm.ref-_xlpm.lo)))</f>
        <v>-0.9285714285714286</v>
      </c>
      <c r="H7" s="129">
        <f>_xlfn.LET(_xlpm.x,'Input Group 1'!AA12,_xlpm.ref,'Input Group 1'!G12,_xlpm.D,'Input Group 1'!S12,_xlpm.dp,IF('Input Group 1'!$E12="",3,'Input Group 1'!$E12),_xlpm.xr,ROUND(_xlpm.x,_xlpm.dp),_xlpm.lo,ROUND(_xlpm.ref-_xlpm.D,_xlpm.dp),_xlpm.hi,ROUND(_xlpm.ref+_xlpm.D,_xlpm.dp),IF(_xlpm.xr&gt;=_xlpm.ref,(_xlpm.xr-_xlpm.ref)/(_xlpm.hi-_xlpm.ref),(_xlpm.xr-_xlpm.ref)/(_xlpm.ref-_xlpm.lo)))</f>
        <v>-1.5</v>
      </c>
      <c r="I7" s="130">
        <f>_xlfn.LET(_xlpm.x,'Input Group 1'!AE12,_xlpm.ref,'Input Group 1'!G12,_xlpm.D,'Input Group 1'!S12,_xlpm.dp,IF('Input Group 1'!$E12="",3,'Input Group 1'!$E12),_xlpm.xr,ROUND(_xlpm.x,_xlpm.dp),_xlpm.lo,ROUND(_xlpm.ref-_xlpm.D,_xlpm.dp),_xlpm.hi,ROUND(_xlpm.ref+_xlpm.D,_xlpm.dp),IF(_xlpm.xr&gt;=_xlpm.ref,(_xlpm.xr-_xlpm.ref)/(_xlpm.hi-_xlpm.ref),(_xlpm.xr-_xlpm.ref)/(_xlpm.ref-_xlpm.lo)))</f>
        <v>-1.2142857142857142</v>
      </c>
      <c r="J7" s="131">
        <f>_xlfn.LET(_xlpm.x,'Input Group 1'!AI12,_xlpm.ref,'Input Group 1'!G12,_xlpm.D,'Input Group 1'!S12,_xlpm.dp,IF('Input Group 1'!$E12="",3,'Input Group 1'!$E12),_xlpm.xr,ROUND(_xlpm.x,_xlpm.dp),_xlpm.lo,ROUND(_xlpm.ref-_xlpm.D,_xlpm.dp),_xlpm.hi,ROUND(_xlpm.ref+_xlpm.D,_xlpm.dp),IF(_xlpm.xr&gt;=_xlpm.ref,(_xlpm.xr-_xlpm.ref)/(_xlpm.hi-_xlpm.ref),(_xlpm.xr-_xlpm.ref)/(_xlpm.ref-_xlpm.lo)))</f>
        <v>-0.2857142857142857</v>
      </c>
      <c r="K7" s="132">
        <f>_xlfn.LET(_xlpm.x,'Input Group 1'!AM12,_xlpm.ref,'Input Group 1'!G12,_xlpm.D,'Input Group 1'!S12,_xlpm.dp,IF('Input Group 1'!$E12="",3,'Input Group 1'!$E12),_xlpm.xr,ROUND(_xlpm.x,_xlpm.dp),_xlpm.lo,ROUND(_xlpm.ref-_xlpm.D,_xlpm.dp),_xlpm.hi,ROUND(_xlpm.ref+_xlpm.D,_xlpm.dp),IF(_xlpm.xr&gt;=_xlpm.ref,(_xlpm.xr-_xlpm.ref)/(_xlpm.hi-_xlpm.ref),(_xlpm.xr-_xlpm.ref)/(_xlpm.ref-_xlpm.lo)))</f>
        <v>7.1428571428571425E-2</v>
      </c>
      <c r="L7" s="87"/>
    </row>
    <row r="8" spans="2:12" ht="15" customHeight="1" x14ac:dyDescent="0.3">
      <c r="B8" s="532"/>
      <c r="C8" s="133" t="str">
        <f>TRIM('Input Group 1'!B13)</f>
        <v>Ca</v>
      </c>
      <c r="D8" s="134" t="str">
        <f>'Input Group 1'!C13</f>
        <v>mmol/L</v>
      </c>
      <c r="E8" s="135">
        <f>'Input Group 1'!D13</f>
        <v>533</v>
      </c>
      <c r="F8" s="136" t="s">
        <v>0</v>
      </c>
      <c r="G8" s="137">
        <f>_xlfn.LET(_xlpm.x,'Input Group 1'!V13,_xlpm.ref,'Input Group 1'!F13,_xlpm.D,'Input Group 1'!O13,_xlpm.dp,IF('Input Group 1'!$E13="",3,'Input Group 1'!$E13),_xlpm.xr,ROUND(_xlpm.x,_xlpm.dp),_xlpm.lo,ROUND(_xlpm.ref-_xlpm.D,_xlpm.dp),_xlpm.hi,ROUND(_xlpm.ref+_xlpm.D,_xlpm.dp),IF(_xlpm.xr&gt;=_xlpm.ref,(_xlpm.xr-_xlpm.ref)/(_xlpm.hi-_xlpm.ref),(_xlpm.xr-_xlpm.ref)/(_xlpm.ref-_xlpm.lo)))</f>
        <v>0</v>
      </c>
      <c r="H8" s="138">
        <f>_xlfn.LET(_xlpm.x,'Input Group 1'!Z13,_xlpm.ref,'Input Group 1'!F13,_xlpm.D,'Input Group 1'!O13,_xlpm.dp,IF('Input Group 1'!$E13="",3,'Input Group 1'!$E13),_xlpm.xr,ROUND(_xlpm.x,_xlpm.dp),_xlpm.lo,ROUND(_xlpm.ref-_xlpm.D,_xlpm.dp),_xlpm.hi,ROUND(_xlpm.ref+_xlpm.D,_xlpm.dp),IF(_xlpm.xr&gt;=_xlpm.ref,(_xlpm.xr-_xlpm.ref)/(_xlpm.hi-_xlpm.ref),(_xlpm.xr-_xlpm.ref)/(_xlpm.ref-_xlpm.lo)))</f>
        <v>0.28571428571428664</v>
      </c>
      <c r="I8" s="137">
        <f>_xlfn.LET(_xlpm.x,'Input Group 1'!AD13,_xlpm.ref,'Input Group 1'!F13,_xlpm.D,'Input Group 1'!O13,_xlpm.dp,IF('Input Group 1'!$E13="",3,'Input Group 1'!$E13),_xlpm.xr,ROUND(_xlpm.x,_xlpm.dp),_xlpm.lo,ROUND(_xlpm.ref-_xlpm.D,_xlpm.dp),_xlpm.hi,ROUND(_xlpm.ref+_xlpm.D,_xlpm.dp),IF(_xlpm.xr&gt;=_xlpm.ref,(_xlpm.xr-_xlpm.ref)/(_xlpm.hi-_xlpm.ref),(_xlpm.xr-_xlpm.ref)/(_xlpm.ref-_xlpm.lo)))</f>
        <v>0</v>
      </c>
      <c r="J8" s="137">
        <f>_xlfn.LET(_xlpm.x,'Input Group 1'!AH13,_xlpm.ref,'Input Group 1'!F13,_xlpm.D,'Input Group 1'!O13,_xlpm.dp,IF('Input Group 1'!$E13="",3,'Input Group 1'!$E13),_xlpm.xr,ROUND(_xlpm.x,_xlpm.dp),_xlpm.lo,ROUND(_xlpm.ref-_xlpm.D,_xlpm.dp),_xlpm.hi,ROUND(_xlpm.ref+_xlpm.D,_xlpm.dp),IF(_xlpm.xr&gt;=_xlpm.ref,(_xlpm.xr-_xlpm.ref)/(_xlpm.hi-_xlpm.ref),(_xlpm.xr-_xlpm.ref)/(_xlpm.ref-_xlpm.lo)))</f>
        <v>0</v>
      </c>
      <c r="K8" s="139">
        <f>_xlfn.LET(_xlpm.x,'Input Group 1'!AL13,_xlpm.ref,'Input Group 1'!F13,_xlpm.D,'Input Group 1'!O13,_xlpm.dp,IF('Input Group 1'!$E13="",3,'Input Group 1'!$E13),_xlpm.xr,ROUND(_xlpm.x,_xlpm.dp),_xlpm.lo,ROUND(_xlpm.ref-_xlpm.D,_xlpm.dp),_xlpm.hi,ROUND(_xlpm.ref+_xlpm.D,_xlpm.dp),IF(_xlpm.xr&gt;=_xlpm.ref,(_xlpm.xr-_xlpm.ref)/(_xlpm.hi-_xlpm.ref),(_xlpm.xr-_xlpm.ref)/(_xlpm.ref-_xlpm.lo)))</f>
        <v>0</v>
      </c>
      <c r="L8" s="87"/>
    </row>
    <row r="9" spans="2:12" ht="15" customHeight="1" x14ac:dyDescent="0.3">
      <c r="B9" s="532"/>
      <c r="C9" s="133" t="str">
        <f>TRIM('Input Group 1'!B13)</f>
        <v>Ca</v>
      </c>
      <c r="D9" s="134" t="str">
        <f>'Input Group 1'!C13</f>
        <v>mmol/L</v>
      </c>
      <c r="E9" s="135">
        <f>'Input Group 1'!D13</f>
        <v>533</v>
      </c>
      <c r="F9" s="136" t="s">
        <v>1</v>
      </c>
      <c r="G9" s="140">
        <f>_xlfn.LET(_xlpm.x,'Input Group 1'!W13,_xlpm.ref,'Input Group 1'!G13,_xlpm.D,'Input Group 1'!S13,_xlpm.dp,IF('Input Group 1'!$E13="",3,'Input Group 1'!$E13),_xlpm.xr,ROUND(_xlpm.x,_xlpm.dp),_xlpm.lo,ROUND(_xlpm.ref-_xlpm.D,_xlpm.dp),_xlpm.hi,ROUND(_xlpm.ref+_xlpm.D,_xlpm.dp),IF(_xlpm.xr&gt;=_xlpm.ref,(_xlpm.xr-_xlpm.ref)/(_xlpm.hi-_xlpm.ref),(_xlpm.xr-_xlpm.ref)/(_xlpm.ref-_xlpm.lo)))</f>
        <v>-0.25000000000000139</v>
      </c>
      <c r="H9" s="141">
        <f>_xlfn.LET(_xlpm.x,'Input Group 1'!AA13,_xlpm.ref,'Input Group 1'!G13,_xlpm.D,'Input Group 1'!S13,_xlpm.dp,IF('Input Group 1'!$E13="",3,'Input Group 1'!$E13),_xlpm.xr,ROUND(_xlpm.x,_xlpm.dp),_xlpm.lo,ROUND(_xlpm.ref-_xlpm.D,_xlpm.dp),_xlpm.hi,ROUND(_xlpm.ref+_xlpm.D,_xlpm.dp),IF(_xlpm.xr&gt;=_xlpm.ref,(_xlpm.xr-_xlpm.ref)/(_xlpm.hi-_xlpm.ref),(_xlpm.xr-_xlpm.ref)/(_xlpm.ref-_xlpm.lo)))</f>
        <v>-0.75000000000000422</v>
      </c>
      <c r="I9" s="140">
        <f>_xlfn.LET(_xlpm.x,'Input Group 1'!AE13,_xlpm.ref,'Input Group 1'!G13,_xlpm.D,'Input Group 1'!S13,_xlpm.dp,IF('Input Group 1'!$E13="",3,'Input Group 1'!$E13),_xlpm.xr,ROUND(_xlpm.x,_xlpm.dp),_xlpm.lo,ROUND(_xlpm.ref-_xlpm.D,_xlpm.dp),_xlpm.hi,ROUND(_xlpm.ref+_xlpm.D,_xlpm.dp),IF(_xlpm.xr&gt;=_xlpm.ref,(_xlpm.xr-_xlpm.ref)/(_xlpm.hi-_xlpm.ref),(_xlpm.xr-_xlpm.ref)/(_xlpm.ref-_xlpm.lo)))</f>
        <v>-0.25000000000000139</v>
      </c>
      <c r="J9" s="142">
        <f>_xlfn.LET(_xlpm.x,'Input Group 1'!AI13,_xlpm.ref,'Input Group 1'!G13,_xlpm.D,'Input Group 1'!S13,_xlpm.dp,IF('Input Group 1'!$E13="",3,'Input Group 1'!$E13),_xlpm.xr,ROUND(_xlpm.x,_xlpm.dp),_xlpm.lo,ROUND(_xlpm.ref-_xlpm.D,_xlpm.dp),_xlpm.hi,ROUND(_xlpm.ref+_xlpm.D,_xlpm.dp),IF(_xlpm.xr&gt;=_xlpm.ref,(_xlpm.xr-_xlpm.ref)/(_xlpm.hi-_xlpm.ref),(_xlpm.xr-_xlpm.ref)/(_xlpm.ref-_xlpm.lo)))</f>
        <v>-0.37499999999999933</v>
      </c>
      <c r="K9" s="143">
        <f>_xlfn.LET(_xlpm.x,'Input Group 1'!AM13,_xlpm.ref,'Input Group 1'!G13,_xlpm.D,'Input Group 1'!S13,_xlpm.dp,IF('Input Group 1'!$E13="",3,'Input Group 1'!$E13),_xlpm.xr,ROUND(_xlpm.x,_xlpm.dp),_xlpm.lo,ROUND(_xlpm.ref-_xlpm.D,_xlpm.dp),_xlpm.hi,ROUND(_xlpm.ref+_xlpm.D,_xlpm.dp),IF(_xlpm.xr&gt;=_xlpm.ref,(_xlpm.xr-_xlpm.ref)/(_xlpm.hi-_xlpm.ref),(_xlpm.xr-_xlpm.ref)/(_xlpm.ref-_xlpm.lo)))</f>
        <v>-0.25000000000000139</v>
      </c>
    </row>
    <row r="10" spans="2:12" ht="15" customHeight="1" x14ac:dyDescent="0.3">
      <c r="B10" s="532"/>
      <c r="C10" s="127" t="str">
        <f>TRIM('Input Group 1'!B14)</f>
        <v>LDH</v>
      </c>
      <c r="D10" s="119" t="str">
        <f>'Input Group 1'!C14</f>
        <v>IU/L</v>
      </c>
      <c r="E10" s="120">
        <f>'Input Group 1'!D14</f>
        <v>533</v>
      </c>
      <c r="F10" s="121" t="s">
        <v>0</v>
      </c>
      <c r="G10" s="144">
        <f>_xlfn.LET(_xlpm.x,'Input Group 1'!V14,_xlpm.ref,'Input Group 1'!F14,_xlpm.D,'Input Group 1'!O14,_xlpm.dp,IF('Input Group 1'!$E14="",3,'Input Group 1'!$E14),_xlpm.xr,ROUND(_xlpm.x,_xlpm.dp),_xlpm.lo,ROUND(_xlpm.ref-_xlpm.D,_xlpm.dp),_xlpm.hi,ROUND(_xlpm.ref+_xlpm.D,_xlpm.dp),IF(_xlpm.xr&gt;=_xlpm.ref,(_xlpm.xr-_xlpm.ref)/(_xlpm.hi-_xlpm.ref),(_xlpm.xr-_xlpm.ref)/(_xlpm.ref-_xlpm.lo)))</f>
        <v>-0.4</v>
      </c>
      <c r="H10" s="137">
        <f>_xlfn.LET(_xlpm.x,'Input Group 1'!Z14,_xlpm.ref,'Input Group 1'!F14,_xlpm.D,'Input Group 1'!O14,_xlpm.dp,IF('Input Group 1'!$E14="",3,'Input Group 1'!$E14),_xlpm.xr,ROUND(_xlpm.x,_xlpm.dp),_xlpm.lo,ROUND(_xlpm.ref-_xlpm.D,_xlpm.dp),_xlpm.hi,ROUND(_xlpm.ref+_xlpm.D,_xlpm.dp),IF(_xlpm.xr&gt;=_xlpm.ref,(_xlpm.xr-_xlpm.ref)/(_xlpm.hi-_xlpm.ref),(_xlpm.xr-_xlpm.ref)/(_xlpm.ref-_xlpm.lo)))</f>
        <v>0</v>
      </c>
      <c r="I10" s="145">
        <f>_xlfn.LET(_xlpm.x,'Input Group 1'!AD14,_xlpm.ref,'Input Group 1'!F14,_xlpm.D,'Input Group 1'!O14,_xlpm.dp,IF('Input Group 1'!$E14="",3,'Input Group 1'!$E14),_xlpm.xr,ROUND(_xlpm.x,_xlpm.dp),_xlpm.lo,ROUND(_xlpm.ref-_xlpm.D,_xlpm.dp),_xlpm.hi,ROUND(_xlpm.ref+_xlpm.D,_xlpm.dp),IF(_xlpm.xr&gt;=_xlpm.ref,(_xlpm.xr-_xlpm.ref)/(_xlpm.hi-_xlpm.ref),(_xlpm.xr-_xlpm.ref)/(_xlpm.ref-_xlpm.lo)))</f>
        <v>0.2</v>
      </c>
      <c r="J10" s="145">
        <f>_xlfn.LET(_xlpm.x,'Input Group 1'!AH14,_xlpm.ref,'Input Group 1'!F14,_xlpm.D,'Input Group 1'!O14,_xlpm.dp,IF('Input Group 1'!$E14="",3,'Input Group 1'!$E14),_xlpm.xr,ROUND(_xlpm.x,_xlpm.dp),_xlpm.lo,ROUND(_xlpm.ref-_xlpm.D,_xlpm.dp),_xlpm.hi,ROUND(_xlpm.ref+_xlpm.D,_xlpm.dp),IF(_xlpm.xr&gt;=_xlpm.ref,(_xlpm.xr-_xlpm.ref)/(_xlpm.hi-_xlpm.ref),(_xlpm.xr-_xlpm.ref)/(_xlpm.ref-_xlpm.lo)))</f>
        <v>0.2</v>
      </c>
      <c r="K10" s="146">
        <f>_xlfn.LET(_xlpm.x,'Input Group 1'!AL14,_xlpm.ref,'Input Group 1'!F14,_xlpm.D,'Input Group 1'!O14,_xlpm.dp,IF('Input Group 1'!$E14="",3,'Input Group 1'!$E14),_xlpm.xr,ROUND(_xlpm.x,_xlpm.dp),_xlpm.lo,ROUND(_xlpm.ref-_xlpm.D,_xlpm.dp),_xlpm.hi,ROUND(_xlpm.ref+_xlpm.D,_xlpm.dp),IF(_xlpm.xr&gt;=_xlpm.ref,(_xlpm.xr-_xlpm.ref)/(_xlpm.hi-_xlpm.ref),(_xlpm.xr-_xlpm.ref)/(_xlpm.ref-_xlpm.lo)))</f>
        <v>0.1</v>
      </c>
    </row>
    <row r="11" spans="2:12" ht="15" customHeight="1" x14ac:dyDescent="0.3">
      <c r="B11" s="532"/>
      <c r="C11" s="127" t="str">
        <f>TRIM('Input Group 1'!B14)</f>
        <v>LDH</v>
      </c>
      <c r="D11" s="119" t="str">
        <f>'Input Group 1'!C14</f>
        <v>IU/L</v>
      </c>
      <c r="E11" s="120">
        <f>'Input Group 1'!D14</f>
        <v>533</v>
      </c>
      <c r="F11" s="121" t="s">
        <v>1</v>
      </c>
      <c r="G11" s="147">
        <f>_xlfn.LET(_xlpm.x,'Input Group 1'!W14,_xlpm.ref,'Input Group 1'!G14,_xlpm.D,'Input Group 1'!S14,_xlpm.dp,IF('Input Group 1'!$E14="",3,'Input Group 1'!$E14),_xlpm.xr,ROUND(_xlpm.x,_xlpm.dp),_xlpm.lo,ROUND(_xlpm.ref-_xlpm.D,_xlpm.dp),_xlpm.hi,ROUND(_xlpm.ref+_xlpm.D,_xlpm.dp),IF(_xlpm.xr&gt;=_xlpm.ref,(_xlpm.xr-_xlpm.ref)/(_xlpm.hi-_xlpm.ref),(_xlpm.xr-_xlpm.ref)/(_xlpm.ref-_xlpm.lo)))</f>
        <v>-1.5</v>
      </c>
      <c r="H11" s="147">
        <f>_xlfn.LET(_xlpm.x,'Input Group 1'!AA14,_xlpm.ref,'Input Group 1'!G14,_xlpm.D,'Input Group 1'!S14,_xlpm.dp,IF('Input Group 1'!$E14="",3,'Input Group 1'!$E14),_xlpm.xr,ROUND(_xlpm.x,_xlpm.dp),_xlpm.lo,ROUND(_xlpm.ref-_xlpm.D,_xlpm.dp),_xlpm.hi,ROUND(_xlpm.ref+_xlpm.D,_xlpm.dp),IF(_xlpm.xr&gt;=_xlpm.ref,(_xlpm.xr-_xlpm.ref)/(_xlpm.hi-_xlpm.ref),(_xlpm.xr-_xlpm.ref)/(_xlpm.ref-_xlpm.lo)))</f>
        <v>-1.5</v>
      </c>
      <c r="I11" s="148">
        <f>_xlfn.LET(_xlpm.x,'Input Group 1'!AE14,_xlpm.ref,'Input Group 1'!G14,_xlpm.D,'Input Group 1'!S14,_xlpm.dp,IF('Input Group 1'!$E14="",3,'Input Group 1'!$E14),_xlpm.xr,ROUND(_xlpm.x,_xlpm.dp),_xlpm.lo,ROUND(_xlpm.ref-_xlpm.D,_xlpm.dp),_xlpm.hi,ROUND(_xlpm.ref+_xlpm.D,_xlpm.dp),IF(_xlpm.xr&gt;=_xlpm.ref,(_xlpm.xr-_xlpm.ref)/(_xlpm.hi-_xlpm.ref),(_xlpm.xr-_xlpm.ref)/(_xlpm.ref-_xlpm.lo)))</f>
        <v>-1</v>
      </c>
      <c r="J11" s="149">
        <f>_xlfn.LET(_xlpm.x,'Input Group 1'!AI14,_xlpm.ref,'Input Group 1'!G14,_xlpm.D,'Input Group 1'!S14,_xlpm.dp,IF('Input Group 1'!$E14="",3,'Input Group 1'!$E14),_xlpm.xr,ROUND(_xlpm.x,_xlpm.dp),_xlpm.lo,ROUND(_xlpm.ref-_xlpm.D,_xlpm.dp),_xlpm.hi,ROUND(_xlpm.ref+_xlpm.D,_xlpm.dp),IF(_xlpm.xr&gt;=_xlpm.ref,(_xlpm.xr-_xlpm.ref)/(_xlpm.hi-_xlpm.ref),(_xlpm.xr-_xlpm.ref)/(_xlpm.ref-_xlpm.lo)))</f>
        <v>-0.375</v>
      </c>
      <c r="K11" s="150">
        <f>_xlfn.LET(_xlpm.x,'Input Group 1'!AM14,_xlpm.ref,'Input Group 1'!G14,_xlpm.D,'Input Group 1'!S14,_xlpm.dp,IF('Input Group 1'!$E14="",3,'Input Group 1'!$E14),_xlpm.xr,ROUND(_xlpm.x,_xlpm.dp),_xlpm.lo,ROUND(_xlpm.ref-_xlpm.D,_xlpm.dp),_xlpm.hi,ROUND(_xlpm.ref+_xlpm.D,_xlpm.dp),IF(_xlpm.xr&gt;=_xlpm.ref,(_xlpm.xr-_xlpm.ref)/(_xlpm.hi-_xlpm.ref),(_xlpm.xr-_xlpm.ref)/(_xlpm.ref-_xlpm.lo)))</f>
        <v>-0.625</v>
      </c>
    </row>
    <row r="12" spans="2:12" ht="15" customHeight="1" x14ac:dyDescent="0.3">
      <c r="B12" s="532"/>
      <c r="C12" s="151" t="str">
        <f>TRIM('Input Group 1'!B15)</f>
        <v>TSH</v>
      </c>
      <c r="D12" s="134" t="str">
        <f>'Input Group 1'!C15</f>
        <v>mIU/L</v>
      </c>
      <c r="E12" s="135">
        <f>'Input Group 1'!D15</f>
        <v>533</v>
      </c>
      <c r="F12" s="136" t="s">
        <v>0</v>
      </c>
      <c r="G12" s="152">
        <f>_xlfn.LET(_xlpm.x,'Input Group 1'!V15,_xlpm.ref,'Input Group 1'!F15,_xlpm.D,'Input Group 1'!O15,_xlpm.dp,IF('Input Group 1'!$E15="",3,'Input Group 1'!$E15),_xlpm.xr,ROUND(_xlpm.x,_xlpm.dp),_xlpm.lo,ROUND(_xlpm.ref-_xlpm.D,_xlpm.dp),_xlpm.hi,ROUND(_xlpm.ref+_xlpm.D,_xlpm.dp),IF(_xlpm.xr&gt;=_xlpm.ref,(_xlpm.xr-_xlpm.ref)/(_xlpm.hi-_xlpm.ref),(_xlpm.xr-_xlpm.ref)/(_xlpm.ref-_xlpm.lo)))</f>
        <v>-0.10000000000000012</v>
      </c>
      <c r="H12" s="153">
        <f>_xlfn.LET(_xlpm.x,'Input Group 1'!Z15,_xlpm.ref,'Input Group 1'!F15,_xlpm.D,'Input Group 1'!O15,_xlpm.dp,IF('Input Group 1'!$E15="",3,'Input Group 1'!$E15),_xlpm.xr,ROUND(_xlpm.x,_xlpm.dp),_xlpm.lo,ROUND(_xlpm.ref-_xlpm.D,_xlpm.dp),_xlpm.hi,ROUND(_xlpm.ref+_xlpm.D,_xlpm.dp),IF(_xlpm.xr&gt;=_xlpm.ref,(_xlpm.xr-_xlpm.ref)/(_xlpm.hi-_xlpm.ref),(_xlpm.xr-_xlpm.ref)/(_xlpm.ref-_xlpm.lo)))</f>
        <v>-0.89999999999999991</v>
      </c>
      <c r="I12" s="154">
        <f>_xlfn.LET(_xlpm.x,'Input Group 1'!AD15,_xlpm.ref,'Input Group 1'!F15,_xlpm.D,'Input Group 1'!O15,_xlpm.dp,IF('Input Group 1'!$E15="",3,'Input Group 1'!$E15),_xlpm.xr,ROUND(_xlpm.x,_xlpm.dp),_xlpm.lo,ROUND(_xlpm.ref-_xlpm.D,_xlpm.dp),_xlpm.hi,ROUND(_xlpm.ref+_xlpm.D,_xlpm.dp),IF(_xlpm.xr&gt;=_xlpm.ref,(_xlpm.xr-_xlpm.ref)/(_xlpm.hi-_xlpm.ref),(_xlpm.xr-_xlpm.ref)/(_xlpm.ref-_xlpm.lo)))</f>
        <v>-0.20000000000000023</v>
      </c>
      <c r="J12" s="155">
        <f>_xlfn.LET(_xlpm.x,'Input Group 1'!AH15,_xlpm.ref,'Input Group 1'!F15,_xlpm.D,'Input Group 1'!O15,_xlpm.dp,IF('Input Group 1'!$E15="",3,'Input Group 1'!$E15),_xlpm.xr,ROUND(_xlpm.x,_xlpm.dp),_xlpm.lo,ROUND(_xlpm.ref-_xlpm.D,_xlpm.dp),_xlpm.hi,ROUND(_xlpm.ref+_xlpm.D,_xlpm.dp),IF(_xlpm.xr&gt;=_xlpm.ref,(_xlpm.xr-_xlpm.ref)/(_xlpm.hi-_xlpm.ref),(_xlpm.xr-_xlpm.ref)/(_xlpm.ref-_xlpm.lo)))</f>
        <v>-0.59999999999999953</v>
      </c>
      <c r="K12" s="156">
        <f>_xlfn.LET(_xlpm.x,'Input Group 1'!AL15,_xlpm.ref,'Input Group 1'!F15,_xlpm.D,'Input Group 1'!O15,_xlpm.dp,IF('Input Group 1'!$E15="",3,'Input Group 1'!$E15),_xlpm.xr,ROUND(_xlpm.x,_xlpm.dp),_xlpm.lo,ROUND(_xlpm.ref-_xlpm.D,_xlpm.dp),_xlpm.hi,ROUND(_xlpm.ref+_xlpm.D,_xlpm.dp),IF(_xlpm.xr&gt;=_xlpm.ref,(_xlpm.xr-_xlpm.ref)/(_xlpm.hi-_xlpm.ref),(_xlpm.xr-_xlpm.ref)/(_xlpm.ref-_xlpm.lo)))</f>
        <v>-0.69999999999999962</v>
      </c>
    </row>
    <row r="13" spans="2:12" ht="15" customHeight="1" x14ac:dyDescent="0.3">
      <c r="B13" s="532"/>
      <c r="C13" s="151" t="str">
        <f>TRIM('Input Group 1'!B15)</f>
        <v>TSH</v>
      </c>
      <c r="D13" s="134" t="str">
        <f>'Input Group 1'!C15</f>
        <v>mIU/L</v>
      </c>
      <c r="E13" s="135">
        <f>'Input Group 1'!D15</f>
        <v>533</v>
      </c>
      <c r="F13" s="136" t="s">
        <v>1</v>
      </c>
      <c r="G13" s="157">
        <f>_xlfn.LET(_xlpm.x,'Input Group 1'!W15,_xlpm.ref,'Input Group 1'!G15,_xlpm.D,'Input Group 1'!S15,_xlpm.dp,IF('Input Group 1'!$E15="",3,'Input Group 1'!$E15),_xlpm.xr,ROUND(_xlpm.x,_xlpm.dp),_xlpm.lo,ROUND(_xlpm.ref-_xlpm.D,_xlpm.dp),_xlpm.hi,ROUND(_xlpm.ref+_xlpm.D,_xlpm.dp),IF(_xlpm.xr&gt;=_xlpm.ref,(_xlpm.xr-_xlpm.ref)/(_xlpm.hi-_xlpm.ref),(_xlpm.xr-_xlpm.ref)/(_xlpm.ref-_xlpm.lo)))</f>
        <v>-1.5961538461538449</v>
      </c>
      <c r="H13" s="122">
        <f>_xlfn.LET(_xlpm.x,'Input Group 1'!AA15,_xlpm.ref,'Input Group 1'!G15,_xlpm.D,'Input Group 1'!S15,_xlpm.dp,IF('Input Group 1'!$E15="",3,'Input Group 1'!$E15),_xlpm.xr,ROUND(_xlpm.x,_xlpm.dp),_xlpm.lo,ROUND(_xlpm.ref-_xlpm.D,_xlpm.dp),_xlpm.hi,ROUND(_xlpm.ref+_xlpm.D,_xlpm.dp),IF(_xlpm.xr&gt;=_xlpm.ref,(_xlpm.xr-_xlpm.ref)/(_xlpm.hi-_xlpm.ref),(_xlpm.xr-_xlpm.ref)/(_xlpm.ref-_xlpm.lo)))</f>
        <v>-3.1538461538461511</v>
      </c>
      <c r="I13" s="158">
        <f>_xlfn.LET(_xlpm.x,'Input Group 1'!AE15,_xlpm.ref,'Input Group 1'!G15,_xlpm.D,'Input Group 1'!S15,_xlpm.dp,IF('Input Group 1'!$E15="",3,'Input Group 1'!$E15),_xlpm.xr,ROUND(_xlpm.x,_xlpm.dp),_xlpm.lo,ROUND(_xlpm.ref-_xlpm.D,_xlpm.dp),_xlpm.hi,ROUND(_xlpm.ref+_xlpm.D,_xlpm.dp),IF(_xlpm.xr&gt;=_xlpm.ref,(_xlpm.xr-_xlpm.ref)/(_xlpm.hi-_xlpm.ref),(_xlpm.xr-_xlpm.ref)/(_xlpm.ref-_xlpm.lo)))</f>
        <v>-0.44230769230769273</v>
      </c>
      <c r="J13" s="159">
        <f>_xlfn.LET(_xlpm.x,'Input Group 1'!AI15,_xlpm.ref,'Input Group 1'!G15,_xlpm.D,'Input Group 1'!S15,_xlpm.dp,IF('Input Group 1'!$E15="",3,'Input Group 1'!$E15),_xlpm.xr,ROUND(_xlpm.x,_xlpm.dp),_xlpm.lo,ROUND(_xlpm.ref-_xlpm.D,_xlpm.dp),_xlpm.hi,ROUND(_xlpm.ref+_xlpm.D,_xlpm.dp),IF(_xlpm.xr&gt;=_xlpm.ref,(_xlpm.xr-_xlpm.ref)/(_xlpm.hi-_xlpm.ref),(_xlpm.xr-_xlpm.ref)/(_xlpm.ref-_xlpm.lo)))</f>
        <v>-0.51923076923076961</v>
      </c>
      <c r="K13" s="160">
        <f>_xlfn.LET(_xlpm.x,'Input Group 1'!AM15,_xlpm.ref,'Input Group 1'!G15,_xlpm.D,'Input Group 1'!S15,_xlpm.dp,IF('Input Group 1'!$E15="",3,'Input Group 1'!$E15),_xlpm.xr,ROUND(_xlpm.x,_xlpm.dp),_xlpm.lo,ROUND(_xlpm.ref-_xlpm.D,_xlpm.dp),_xlpm.hi,ROUND(_xlpm.ref+_xlpm.D,_xlpm.dp),IF(_xlpm.xr&gt;=_xlpm.ref,(_xlpm.xr-_xlpm.ref)/(_xlpm.hi-_xlpm.ref),(_xlpm.xr-_xlpm.ref)/(_xlpm.ref-_xlpm.lo)))</f>
        <v>-0.19230769230769315</v>
      </c>
    </row>
    <row r="14" spans="2:12" ht="15" customHeight="1" x14ac:dyDescent="0.3">
      <c r="B14" s="532"/>
      <c r="C14" s="161" t="str">
        <f>TRIM('Input Group 1'!B16)</f>
        <v>FT4</v>
      </c>
      <c r="D14" s="119" t="str">
        <f>'Input Group 1'!C16</f>
        <v>pmol/L</v>
      </c>
      <c r="E14" s="120">
        <f>'Input Group 1'!D16</f>
        <v>533</v>
      </c>
      <c r="F14" s="121" t="s">
        <v>0</v>
      </c>
      <c r="G14" s="162">
        <f>_xlfn.LET(_xlpm.x,'Input Group 1'!V16,_xlpm.ref,'Input Group 1'!F16,_xlpm.D,'Input Group 1'!O16,_xlpm.dp,IF('Input Group 1'!$E16="",3,'Input Group 1'!$E16),_xlpm.xr,ROUND(_xlpm.x,_xlpm.dp),_xlpm.lo,ROUND(_xlpm.ref-_xlpm.D,_xlpm.dp),_xlpm.hi,ROUND(_xlpm.ref+_xlpm.D,_xlpm.dp),IF(_xlpm.xr&gt;=_xlpm.ref,(_xlpm.xr-_xlpm.ref)/(_xlpm.hi-_xlpm.ref),(_xlpm.xr-_xlpm.ref)/(_xlpm.ref-_xlpm.lo)))</f>
        <v>-2</v>
      </c>
      <c r="H14" s="163">
        <f>_xlfn.LET(_xlpm.x,'Input Group 1'!Z16,_xlpm.ref,'Input Group 1'!F16,_xlpm.D,'Input Group 1'!O16,_xlpm.dp,IF('Input Group 1'!$E16="",3,'Input Group 1'!$E16),_xlpm.xr,ROUND(_xlpm.x,_xlpm.dp),_xlpm.lo,ROUND(_xlpm.ref-_xlpm.D,_xlpm.dp),_xlpm.hi,ROUND(_xlpm.ref+_xlpm.D,_xlpm.dp),IF(_xlpm.xr&gt;=_xlpm.ref,(_xlpm.xr-_xlpm.ref)/(_xlpm.hi-_xlpm.ref),(_xlpm.xr-_xlpm.ref)/(_xlpm.ref-_xlpm.lo)))</f>
        <v>0.2000000000000007</v>
      </c>
      <c r="I14" s="164">
        <f>_xlfn.LET(_xlpm.x,'Input Group 1'!AD16,_xlpm.ref,'Input Group 1'!F16,_xlpm.D,'Input Group 1'!O16,_xlpm.dp,IF('Input Group 1'!$E16="",3,'Input Group 1'!$E16),_xlpm.xr,ROUND(_xlpm.x,_xlpm.dp),_xlpm.lo,ROUND(_xlpm.ref-_xlpm.D,_xlpm.dp),_xlpm.hi,ROUND(_xlpm.ref+_xlpm.D,_xlpm.dp),IF(_xlpm.xr&gt;=_xlpm.ref,(_xlpm.xr-_xlpm.ref)/(_xlpm.hi-_xlpm.ref),(_xlpm.xr-_xlpm.ref)/(_xlpm.ref-_xlpm.lo)))</f>
        <v>-0.59999999999999964</v>
      </c>
      <c r="J14" s="165">
        <f>_xlfn.LET(_xlpm.x,'Input Group 1'!AH16,_xlpm.ref,'Input Group 1'!F16,_xlpm.D,'Input Group 1'!O16,_xlpm.dp,IF('Input Group 1'!$E16="",3,'Input Group 1'!$E16),_xlpm.xr,ROUND(_xlpm.x,_xlpm.dp),_xlpm.lo,ROUND(_xlpm.ref-_xlpm.D,_xlpm.dp),_xlpm.hi,ROUND(_xlpm.ref+_xlpm.D,_xlpm.dp),IF(_xlpm.xr&gt;=_xlpm.ref,(_xlpm.xr-_xlpm.ref)/(_xlpm.hi-_xlpm.ref),(_xlpm.xr-_xlpm.ref)/(_xlpm.ref-_xlpm.lo)))</f>
        <v>0.2000000000000007</v>
      </c>
      <c r="K14" s="166">
        <f>_xlfn.LET(_xlpm.x,'Input Group 1'!AL16,_xlpm.ref,'Input Group 1'!F16,_xlpm.D,'Input Group 1'!O16,_xlpm.dp,IF('Input Group 1'!$E16="",3,'Input Group 1'!$E16),_xlpm.xr,ROUND(_xlpm.x,_xlpm.dp),_xlpm.lo,ROUND(_xlpm.ref-_xlpm.D,_xlpm.dp),_xlpm.hi,ROUND(_xlpm.ref+_xlpm.D,_xlpm.dp),IF(_xlpm.xr&gt;=_xlpm.ref,(_xlpm.xr-_xlpm.ref)/(_xlpm.hi-_xlpm.ref),(_xlpm.xr-_xlpm.ref)/(_xlpm.ref-_xlpm.lo)))</f>
        <v>-0.59999999999999964</v>
      </c>
    </row>
    <row r="15" spans="2:12" ht="15" customHeight="1" x14ac:dyDescent="0.3">
      <c r="B15" s="532"/>
      <c r="C15" s="161" t="str">
        <f>TRIM('Input Group 1'!B16)</f>
        <v>FT4</v>
      </c>
      <c r="D15" s="119" t="str">
        <f>'Input Group 1'!C16</f>
        <v>pmol/L</v>
      </c>
      <c r="E15" s="120">
        <f>'Input Group 1'!D16</f>
        <v>533</v>
      </c>
      <c r="F15" s="121" t="s">
        <v>1</v>
      </c>
      <c r="G15" s="167">
        <f>_xlfn.LET(_xlpm.x,'Input Group 1'!W16,_xlpm.ref,'Input Group 1'!G16,_xlpm.D,'Input Group 1'!S16,_xlpm.dp,IF('Input Group 1'!$E16="",3,'Input Group 1'!$E16),_xlpm.xr,ROUND(_xlpm.x,_xlpm.dp),_xlpm.lo,ROUND(_xlpm.ref-_xlpm.D,_xlpm.dp),_xlpm.hi,ROUND(_xlpm.ref+_xlpm.D,_xlpm.dp),IF(_xlpm.xr&gt;=_xlpm.ref,(_xlpm.xr-_xlpm.ref)/(_xlpm.hi-_xlpm.ref),(_xlpm.xr-_xlpm.ref)/(_xlpm.ref-_xlpm.lo)))</f>
        <v>-0.22222222222222135</v>
      </c>
      <c r="H15" s="168">
        <f>_xlfn.LET(_xlpm.x,'Input Group 1'!AA16,_xlpm.ref,'Input Group 1'!G16,_xlpm.D,'Input Group 1'!S16,_xlpm.dp,IF('Input Group 1'!$E16="",3,'Input Group 1'!$E16),_xlpm.xr,ROUND(_xlpm.x,_xlpm.dp),_xlpm.lo,ROUND(_xlpm.ref-_xlpm.D,_xlpm.dp),_xlpm.hi,ROUND(_xlpm.ref+_xlpm.D,_xlpm.dp),IF(_xlpm.xr&gt;=_xlpm.ref,(_xlpm.xr-_xlpm.ref)/(_xlpm.hi-_xlpm.ref),(_xlpm.xr-_xlpm.ref)/(_xlpm.ref-_xlpm.lo)))</f>
        <v>-0.8888888888888874</v>
      </c>
      <c r="I15" s="169">
        <f>_xlfn.LET(_xlpm.x,'Input Group 1'!AE16,_xlpm.ref,'Input Group 1'!G16,_xlpm.D,'Input Group 1'!S16,_xlpm.dp,IF('Input Group 1'!$E16="",3,'Input Group 1'!$E16),_xlpm.xr,ROUND(_xlpm.x,_xlpm.dp),_xlpm.lo,ROUND(_xlpm.ref-_xlpm.D,_xlpm.dp),_xlpm.hi,ROUND(_xlpm.ref+_xlpm.D,_xlpm.dp),IF(_xlpm.xr&gt;=_xlpm.ref,(_xlpm.xr-_xlpm.ref)/(_xlpm.hi-_xlpm.ref),(_xlpm.xr-_xlpm.ref)/(_xlpm.ref-_xlpm.lo)))</f>
        <v>-0.33333333333333204</v>
      </c>
      <c r="J15" s="137">
        <f>_xlfn.LET(_xlpm.x,'Input Group 1'!AI16,_xlpm.ref,'Input Group 1'!G16,_xlpm.D,'Input Group 1'!S16,_xlpm.dp,IF('Input Group 1'!$E16="",3,'Input Group 1'!$E16),_xlpm.xr,ROUND(_xlpm.x,_xlpm.dp),_xlpm.lo,ROUND(_xlpm.ref-_xlpm.D,_xlpm.dp),_xlpm.hi,ROUND(_xlpm.ref+_xlpm.D,_xlpm.dp),IF(_xlpm.xr&gt;=_xlpm.ref,(_xlpm.xr-_xlpm.ref)/(_xlpm.hi-_xlpm.ref),(_xlpm.xr-_xlpm.ref)/(_xlpm.ref-_xlpm.lo)))</f>
        <v>0</v>
      </c>
      <c r="K15" s="170">
        <f>_xlfn.LET(_xlpm.x,'Input Group 1'!AM16,_xlpm.ref,'Input Group 1'!G16,_xlpm.D,'Input Group 1'!S16,_xlpm.dp,IF('Input Group 1'!$E16="",3,'Input Group 1'!$E16),_xlpm.xr,ROUND(_xlpm.x,_xlpm.dp),_xlpm.lo,ROUND(_xlpm.ref-_xlpm.D,_xlpm.dp),_xlpm.hi,ROUND(_xlpm.ref+_xlpm.D,_xlpm.dp),IF(_xlpm.xr&gt;=_xlpm.ref,(_xlpm.xr-_xlpm.ref)/(_xlpm.hi-_xlpm.ref),(_xlpm.xr-_xlpm.ref)/(_xlpm.ref-_xlpm.lo)))</f>
        <v>-0.44444444444444464</v>
      </c>
    </row>
    <row r="16" spans="2:12" ht="15" customHeight="1" x14ac:dyDescent="0.3">
      <c r="B16" s="532"/>
      <c r="C16" s="151" t="str">
        <f>TRIM('Input Group 1'!B17)</f>
        <v>ALT</v>
      </c>
      <c r="D16" s="134" t="str">
        <f>'Input Group 1'!C17</f>
        <v>U/L</v>
      </c>
      <c r="E16" s="135">
        <f>'Input Group 1'!D17</f>
        <v>874</v>
      </c>
      <c r="F16" s="136" t="s">
        <v>0</v>
      </c>
      <c r="G16" s="171">
        <f>_xlfn.LET(_xlpm.x,'Input Group 1'!V17,_xlpm.ref,'Input Group 1'!F17,_xlpm.D,'Input Group 1'!O17,_xlpm.dp,IF('Input Group 1'!$E17="",3,'Input Group 1'!$E17),_xlpm.xr,ROUND(_xlpm.x,_xlpm.dp),_xlpm.lo,ROUND(_xlpm.ref-_xlpm.D,_xlpm.dp),_xlpm.hi,ROUND(_xlpm.ref+_xlpm.D,_xlpm.dp),IF(_xlpm.xr&gt;=_xlpm.ref,(_xlpm.xr-_xlpm.ref)/(_xlpm.hi-_xlpm.ref),(_xlpm.xr-_xlpm.ref)/(_xlpm.ref-_xlpm.lo)))</f>
        <v>-1</v>
      </c>
      <c r="H16" s="122">
        <f>_xlfn.LET(_xlpm.x,'Input Group 1'!Z17,_xlpm.ref,'Input Group 1'!F17,_xlpm.D,'Input Group 1'!O17,_xlpm.dp,IF('Input Group 1'!$E17="",3,'Input Group 1'!$E17),_xlpm.xr,ROUND(_xlpm.x,_xlpm.dp),_xlpm.lo,ROUND(_xlpm.ref-_xlpm.D,_xlpm.dp),_xlpm.hi,ROUND(_xlpm.ref+_xlpm.D,_xlpm.dp),IF(_xlpm.xr&gt;=_xlpm.ref,(_xlpm.xr-_xlpm.ref)/(_xlpm.hi-_xlpm.ref),(_xlpm.xr-_xlpm.ref)/(_xlpm.ref-_xlpm.lo)))</f>
        <v>2.5555555555555554</v>
      </c>
      <c r="I16" s="122">
        <f>_xlfn.LET(_xlpm.x,'Input Group 1'!AD17,_xlpm.ref,'Input Group 1'!F17,_xlpm.D,'Input Group 1'!O17,_xlpm.dp,IF('Input Group 1'!$E17="",3,'Input Group 1'!$E17),_xlpm.xr,ROUND(_xlpm.x,_xlpm.dp),_xlpm.lo,ROUND(_xlpm.ref-_xlpm.D,_xlpm.dp),_xlpm.hi,ROUND(_xlpm.ref+_xlpm.D,_xlpm.dp),IF(_xlpm.xr&gt;=_xlpm.ref,(_xlpm.xr-_xlpm.ref)/(_xlpm.hi-_xlpm.ref),(_xlpm.xr-_xlpm.ref)/(_xlpm.ref-_xlpm.lo)))</f>
        <v>3.6666666666666661</v>
      </c>
      <c r="J16" s="172">
        <f>_xlfn.LET(_xlpm.x,'Input Group 1'!AH17,_xlpm.ref,'Input Group 1'!F17,_xlpm.D,'Input Group 1'!O17,_xlpm.dp,IF('Input Group 1'!$E17="",3,'Input Group 1'!$E17),_xlpm.xr,ROUND(_xlpm.x,_xlpm.dp),_xlpm.lo,ROUND(_xlpm.ref-_xlpm.D,_xlpm.dp),_xlpm.hi,ROUND(_xlpm.ref+_xlpm.D,_xlpm.dp),IF(_xlpm.xr&gt;=_xlpm.ref,(_xlpm.xr-_xlpm.ref)/(_xlpm.hi-_xlpm.ref),(_xlpm.xr-_xlpm.ref)/(_xlpm.ref-_xlpm.lo)))</f>
        <v>-0.77777777777777746</v>
      </c>
      <c r="K16" s="173">
        <f>_xlfn.LET(_xlpm.x,'Input Group 1'!AL17,_xlpm.ref,'Input Group 1'!F17,_xlpm.D,'Input Group 1'!O17,_xlpm.dp,IF('Input Group 1'!$E17="",3,'Input Group 1'!$E17),_xlpm.xr,ROUND(_xlpm.x,_xlpm.dp),_xlpm.lo,ROUND(_xlpm.ref-_xlpm.D,_xlpm.dp),_xlpm.hi,ROUND(_xlpm.ref+_xlpm.D,_xlpm.dp),IF(_xlpm.xr&gt;=_xlpm.ref,(_xlpm.xr-_xlpm.ref)/(_xlpm.hi-_xlpm.ref),(_xlpm.xr-_xlpm.ref)/(_xlpm.ref-_xlpm.lo)))</f>
        <v>0.11111111111111166</v>
      </c>
    </row>
    <row r="17" spans="2:11" ht="15" customHeight="1" x14ac:dyDescent="0.3">
      <c r="B17" s="532"/>
      <c r="C17" s="151" t="str">
        <f>TRIM('Input Group 1'!B17)</f>
        <v>ALT</v>
      </c>
      <c r="D17" s="134" t="str">
        <f>'Input Group 1'!C17</f>
        <v>U/L</v>
      </c>
      <c r="E17" s="135">
        <f>'Input Group 1'!D17</f>
        <v>874</v>
      </c>
      <c r="F17" s="136" t="s">
        <v>1</v>
      </c>
      <c r="G17" s="174">
        <f>_xlfn.LET(_xlpm.x,'Input Group 1'!W17,_xlpm.ref,'Input Group 1'!G17,_xlpm.D,'Input Group 1'!S17,_xlpm.dp,IF('Input Group 1'!$E17="",3,'Input Group 1'!$E17),_xlpm.xr,ROUND(_xlpm.x,_xlpm.dp),_xlpm.lo,ROUND(_xlpm.ref-_xlpm.D,_xlpm.dp),_xlpm.hi,ROUND(_xlpm.ref+_xlpm.D,_xlpm.dp),IF(_xlpm.xr&gt;=_xlpm.ref,(_xlpm.xr-_xlpm.ref)/(_xlpm.hi-_xlpm.ref),(_xlpm.xr-_xlpm.ref)/(_xlpm.ref-_xlpm.lo)))</f>
        <v>0.30303030303030332</v>
      </c>
      <c r="H17" s="175">
        <f>_xlfn.LET(_xlpm.x,'Input Group 1'!AA17,_xlpm.ref,'Input Group 1'!G17,_xlpm.D,'Input Group 1'!S17,_xlpm.dp,IF('Input Group 1'!$E17="",3,'Input Group 1'!$E17),_xlpm.xr,ROUND(_xlpm.x,_xlpm.dp),_xlpm.lo,ROUND(_xlpm.ref-_xlpm.D,_xlpm.dp),_xlpm.hi,ROUND(_xlpm.ref+_xlpm.D,_xlpm.dp),IF(_xlpm.xr&gt;=_xlpm.ref,(_xlpm.xr-_xlpm.ref)/(_xlpm.hi-_xlpm.ref),(_xlpm.xr-_xlpm.ref)/(_xlpm.ref-_xlpm.lo)))</f>
        <v>6.0606060606061517E-2</v>
      </c>
      <c r="I17" s="176">
        <f>_xlfn.LET(_xlpm.x,'Input Group 1'!AE17,_xlpm.ref,'Input Group 1'!G17,_xlpm.D,'Input Group 1'!S17,_xlpm.dp,IF('Input Group 1'!$E17="",3,'Input Group 1'!$E17),_xlpm.xr,ROUND(_xlpm.x,_xlpm.dp),_xlpm.lo,ROUND(_xlpm.ref-_xlpm.D,_xlpm.dp),_xlpm.hi,ROUND(_xlpm.ref+_xlpm.D,_xlpm.dp),IF(_xlpm.xr&gt;=_xlpm.ref,(_xlpm.xr-_xlpm.ref)/(_xlpm.hi-_xlpm.ref),(_xlpm.xr-_xlpm.ref)/(_xlpm.ref-_xlpm.lo)))</f>
        <v>-9.0909090909090023E-2</v>
      </c>
      <c r="J17" s="177">
        <f>_xlfn.LET(_xlpm.x,'Input Group 1'!AI17,_xlpm.ref,'Input Group 1'!G17,_xlpm.D,'Input Group 1'!S17,_xlpm.dp,IF('Input Group 1'!$E17="",3,'Input Group 1'!$E17),_xlpm.xr,ROUND(_xlpm.x,_xlpm.dp),_xlpm.lo,ROUND(_xlpm.ref-_xlpm.D,_xlpm.dp),_xlpm.hi,ROUND(_xlpm.ref+_xlpm.D,_xlpm.dp),IF(_xlpm.xr&gt;=_xlpm.ref,(_xlpm.xr-_xlpm.ref)/(_xlpm.hi-_xlpm.ref),(_xlpm.xr-_xlpm.ref)/(_xlpm.ref-_xlpm.lo)))</f>
        <v>0.15151515151515166</v>
      </c>
      <c r="K17" s="178">
        <f>_xlfn.LET(_xlpm.x,'Input Group 1'!AM17,_xlpm.ref,'Input Group 1'!G17,_xlpm.D,'Input Group 1'!S17,_xlpm.dp,IF('Input Group 1'!$E17="",3,'Input Group 1'!$E17),_xlpm.xr,ROUND(_xlpm.x,_xlpm.dp),_xlpm.lo,ROUND(_xlpm.ref-_xlpm.D,_xlpm.dp),_xlpm.hi,ROUND(_xlpm.ref+_xlpm.D,_xlpm.dp),IF(_xlpm.xr&gt;=_xlpm.ref,(_xlpm.xr-_xlpm.ref)/(_xlpm.hi-_xlpm.ref),(_xlpm.xr-_xlpm.ref)/(_xlpm.ref-_xlpm.lo)))</f>
        <v>0.27272727272727254</v>
      </c>
    </row>
    <row r="18" spans="2:11" ht="15" customHeight="1" x14ac:dyDescent="0.3">
      <c r="B18" s="532"/>
      <c r="C18" s="161" t="str">
        <f>TRIM('Input Group 1'!B18)</f>
        <v>GGT</v>
      </c>
      <c r="D18" s="119" t="str">
        <f>'Input Group 1'!C18</f>
        <v>U/L</v>
      </c>
      <c r="E18" s="120">
        <f>'Input Group 1'!D18</f>
        <v>874</v>
      </c>
      <c r="F18" s="121" t="s">
        <v>0</v>
      </c>
      <c r="G18" s="179">
        <f>_xlfn.LET(_xlpm.x,'Input Group 1'!V18,_xlpm.ref,'Input Group 1'!F18,_xlpm.D,'Input Group 1'!O18,_xlpm.dp,IF('Input Group 1'!$E18="",3,'Input Group 1'!$E18),_xlpm.xr,ROUND(_xlpm.x,_xlpm.dp),_xlpm.lo,ROUND(_xlpm.ref-_xlpm.D,_xlpm.dp),_xlpm.hi,ROUND(_xlpm.ref+_xlpm.D,_xlpm.dp),IF(_xlpm.xr&gt;=_xlpm.ref,(_xlpm.xr-_xlpm.ref)/(_xlpm.hi-_xlpm.ref),(_xlpm.xr-_xlpm.ref)/(_xlpm.ref-_xlpm.lo)))</f>
        <v>-0.48000000000000043</v>
      </c>
      <c r="H18" s="122">
        <f>_xlfn.LET(_xlpm.x,'Input Group 1'!Z18,_xlpm.ref,'Input Group 1'!F18,_xlpm.D,'Input Group 1'!O18,_xlpm.dp,IF('Input Group 1'!$E18="",3,'Input Group 1'!$E18),_xlpm.xr,ROUND(_xlpm.x,_xlpm.dp),_xlpm.lo,ROUND(_xlpm.ref-_xlpm.D,_xlpm.dp),_xlpm.hi,ROUND(_xlpm.ref+_xlpm.D,_xlpm.dp),IF(_xlpm.xr&gt;=_xlpm.ref,(_xlpm.xr-_xlpm.ref)/(_xlpm.hi-_xlpm.ref),(_xlpm.xr-_xlpm.ref)/(_xlpm.ref-_xlpm.lo)))</f>
        <v>4.72</v>
      </c>
      <c r="I18" s="180">
        <f>_xlfn.LET(_xlpm.x,'Input Group 1'!AD18,_xlpm.ref,'Input Group 1'!F18,_xlpm.D,'Input Group 1'!O18,_xlpm.dp,IF('Input Group 1'!$E18="",3,'Input Group 1'!$E18),_xlpm.xr,ROUND(_xlpm.x,_xlpm.dp),_xlpm.lo,ROUND(_xlpm.ref-_xlpm.D,_xlpm.dp),_xlpm.hi,ROUND(_xlpm.ref+_xlpm.D,_xlpm.dp),IF(_xlpm.xr&gt;=_xlpm.ref,(_xlpm.xr-_xlpm.ref)/(_xlpm.hi-_xlpm.ref),(_xlpm.xr-_xlpm.ref)/(_xlpm.ref-_xlpm.lo)))</f>
        <v>-1.3333333333334233E-2</v>
      </c>
      <c r="J18" s="144">
        <f>_xlfn.LET(_xlpm.x,'Input Group 1'!AH18,_xlpm.ref,'Input Group 1'!F18,_xlpm.D,'Input Group 1'!O18,_xlpm.dp,IF('Input Group 1'!$E18="",3,'Input Group 1'!$E18),_xlpm.xr,ROUND(_xlpm.x,_xlpm.dp),_xlpm.lo,ROUND(_xlpm.ref-_xlpm.D,_xlpm.dp),_xlpm.hi,ROUND(_xlpm.ref+_xlpm.D,_xlpm.dp),IF(_xlpm.xr&gt;=_xlpm.ref,(_xlpm.xr-_xlpm.ref)/(_xlpm.hi-_xlpm.ref),(_xlpm.xr-_xlpm.ref)/(_xlpm.ref-_xlpm.lo)))</f>
        <v>-0.413333333333334</v>
      </c>
      <c r="K18" s="181">
        <f>_xlfn.LET(_xlpm.x,'Input Group 1'!AL18,_xlpm.ref,'Input Group 1'!F18,_xlpm.D,'Input Group 1'!O18,_xlpm.dp,IF('Input Group 1'!$E18="",3,'Input Group 1'!$E18),_xlpm.xr,ROUND(_xlpm.x,_xlpm.dp),_xlpm.lo,ROUND(_xlpm.ref-_xlpm.D,_xlpm.dp),_xlpm.hi,ROUND(_xlpm.ref+_xlpm.D,_xlpm.dp),IF(_xlpm.xr&gt;=_xlpm.ref,(_xlpm.xr-_xlpm.ref)/(_xlpm.hi-_xlpm.ref),(_xlpm.xr-_xlpm.ref)/(_xlpm.ref-_xlpm.lo)))</f>
        <v>3.3333333333332625E-2</v>
      </c>
    </row>
    <row r="19" spans="2:11" ht="15" customHeight="1" x14ac:dyDescent="0.3">
      <c r="B19" s="532"/>
      <c r="C19" s="161" t="str">
        <f>TRIM('Input Group 1'!B18)</f>
        <v>GGT</v>
      </c>
      <c r="D19" s="119" t="str">
        <f>'Input Group 1'!C18</f>
        <v>U/L</v>
      </c>
      <c r="E19" s="120">
        <f>'Input Group 1'!D18</f>
        <v>874</v>
      </c>
      <c r="F19" s="121" t="s">
        <v>1</v>
      </c>
      <c r="G19" s="182">
        <f>_xlfn.LET(_xlpm.x,'Input Group 1'!W18,_xlpm.ref,'Input Group 1'!G18,_xlpm.D,'Input Group 1'!S18,_xlpm.dp,IF('Input Group 1'!$E18="",3,'Input Group 1'!$E18),_xlpm.xr,ROUND(_xlpm.x,_xlpm.dp),_xlpm.lo,ROUND(_xlpm.ref-_xlpm.D,_xlpm.dp),_xlpm.hi,ROUND(_xlpm.ref+_xlpm.D,_xlpm.dp),IF(_xlpm.xr&gt;=_xlpm.ref,(_xlpm.xr-_xlpm.ref)/(_xlpm.hi-_xlpm.ref),(_xlpm.xr-_xlpm.ref)/(_xlpm.ref-_xlpm.lo)))</f>
        <v>-0.85501066098081024</v>
      </c>
      <c r="H19" s="183">
        <f>_xlfn.LET(_xlpm.x,'Input Group 1'!AA18,_xlpm.ref,'Input Group 1'!G18,_xlpm.D,'Input Group 1'!S18,_xlpm.dp,IF('Input Group 1'!$E18="",3,'Input Group 1'!$E18),_xlpm.xr,ROUND(_xlpm.x,_xlpm.dp),_xlpm.lo,ROUND(_xlpm.ref-_xlpm.D,_xlpm.dp),_xlpm.hi,ROUND(_xlpm.ref+_xlpm.D,_xlpm.dp),IF(_xlpm.xr&gt;=_xlpm.ref,(_xlpm.xr-_xlpm.ref)/(_xlpm.hi-_xlpm.ref),(_xlpm.xr-_xlpm.ref)/(_xlpm.ref-_xlpm.lo)))</f>
        <v>0.16844349680170564</v>
      </c>
      <c r="I19" s="184">
        <f>_xlfn.LET(_xlpm.x,'Input Group 1'!AE18,_xlpm.ref,'Input Group 1'!G18,_xlpm.D,'Input Group 1'!S18,_xlpm.dp,IF('Input Group 1'!$E18="",3,'Input Group 1'!$E18),_xlpm.xr,ROUND(_xlpm.x,_xlpm.dp),_xlpm.lo,ROUND(_xlpm.ref-_xlpm.D,_xlpm.dp),_xlpm.hi,ROUND(_xlpm.ref+_xlpm.D,_xlpm.dp),IF(_xlpm.xr&gt;=_xlpm.ref,(_xlpm.xr-_xlpm.ref)/(_xlpm.hi-_xlpm.ref),(_xlpm.xr-_xlpm.ref)/(_xlpm.ref-_xlpm.lo)))</f>
        <v>-0.98294243070362508</v>
      </c>
      <c r="J19" s="185">
        <f>_xlfn.LET(_xlpm.x,'Input Group 1'!AI18,_xlpm.ref,'Input Group 1'!G18,_xlpm.D,'Input Group 1'!S18,_xlpm.dp,IF('Input Group 1'!$E18="",3,'Input Group 1'!$E18),_xlpm.xr,ROUND(_xlpm.x,_xlpm.dp),_xlpm.lo,ROUND(_xlpm.ref-_xlpm.D,_xlpm.dp),_xlpm.hi,ROUND(_xlpm.ref+_xlpm.D,_xlpm.dp),IF(_xlpm.xr&gt;=_xlpm.ref,(_xlpm.xr-_xlpm.ref)/(_xlpm.hi-_xlpm.ref),(_xlpm.xr-_xlpm.ref)/(_xlpm.ref-_xlpm.lo)))</f>
        <v>-0.812366737739873</v>
      </c>
      <c r="K19" s="186">
        <f>_xlfn.LET(_xlpm.x,'Input Group 1'!AM18,_xlpm.ref,'Input Group 1'!G18,_xlpm.D,'Input Group 1'!S18,_xlpm.dp,IF('Input Group 1'!$E18="",3,'Input Group 1'!$E18),_xlpm.xr,ROUND(_xlpm.x,_xlpm.dp),_xlpm.lo,ROUND(_xlpm.ref-_xlpm.D,_xlpm.dp),_xlpm.hi,ROUND(_xlpm.ref+_xlpm.D,_xlpm.dp),IF(_xlpm.xr&gt;=_xlpm.ref,(_xlpm.xr-_xlpm.ref)/(_xlpm.hi-_xlpm.ref),(_xlpm.xr-_xlpm.ref)/(_xlpm.ref-_xlpm.lo)))</f>
        <v>-0.36034115138592721</v>
      </c>
    </row>
    <row r="20" spans="2:11" ht="15" customHeight="1" x14ac:dyDescent="0.3">
      <c r="B20" s="532"/>
      <c r="C20" s="151" t="str">
        <f>TRIM('Input Group 1'!B19)</f>
        <v>RBC</v>
      </c>
      <c r="D20" s="134" t="str">
        <f>'Input Group 1'!C19</f>
        <v>10^6/μL</v>
      </c>
      <c r="E20" s="135">
        <f>'Input Group 1'!D19</f>
        <v>992</v>
      </c>
      <c r="F20" s="136" t="s">
        <v>0</v>
      </c>
      <c r="G20" s="187">
        <f>_xlfn.LET(_xlpm.x,'Input Group 1'!V19,_xlpm.ref,'Input Group 1'!F19,_xlpm.D,'Input Group 1'!O19,_xlpm.dp,IF('Input Group 1'!$E19="",3,'Input Group 1'!$E19),_xlpm.xr,ROUND(_xlpm.x,_xlpm.dp),_xlpm.lo,ROUND(_xlpm.ref-_xlpm.D,_xlpm.dp),_xlpm.hi,ROUND(_xlpm.ref+_xlpm.D,_xlpm.dp),IF(_xlpm.xr&gt;=_xlpm.ref,(_xlpm.xr-_xlpm.ref)/(_xlpm.hi-_xlpm.ref),(_xlpm.xr-_xlpm.ref)/(_xlpm.ref-_xlpm.lo)))</f>
        <v>-0.86956521739130521</v>
      </c>
      <c r="H20" s="188">
        <f>_xlfn.LET(_xlpm.x,'Input Group 1'!Z19,_xlpm.ref,'Input Group 1'!F19,_xlpm.D,'Input Group 1'!O19,_xlpm.dp,IF('Input Group 1'!$E19="",3,'Input Group 1'!$E19),_xlpm.xr,ROUND(_xlpm.x,_xlpm.dp),_xlpm.lo,ROUND(_xlpm.ref-_xlpm.D,_xlpm.dp),_xlpm.hi,ROUND(_xlpm.ref+_xlpm.D,_xlpm.dp),IF(_xlpm.xr&gt;=_xlpm.ref,(_xlpm.xr-_xlpm.ref)/(_xlpm.hi-_xlpm.ref),(_xlpm.xr-_xlpm.ref)/(_xlpm.ref-_xlpm.lo)))</f>
        <v>0.34782608695652012</v>
      </c>
      <c r="I20" s="189">
        <f>_xlfn.LET(_xlpm.x,'Input Group 1'!AD19,_xlpm.ref,'Input Group 1'!F19,_xlpm.D,'Input Group 1'!O19,_xlpm.dp,IF('Input Group 1'!$E19="",3,'Input Group 1'!$E19),_xlpm.xr,ROUND(_xlpm.x,_xlpm.dp),_xlpm.lo,ROUND(_xlpm.ref-_xlpm.D,_xlpm.dp),_xlpm.hi,ROUND(_xlpm.ref+_xlpm.D,_xlpm.dp),IF(_xlpm.xr&gt;=_xlpm.ref,(_xlpm.xr-_xlpm.ref)/(_xlpm.hi-_xlpm.ref),(_xlpm.xr-_xlpm.ref)/(_xlpm.ref-_xlpm.lo)))</f>
        <v>-8.6956521739130516E-2</v>
      </c>
      <c r="J20" s="187">
        <f>_xlfn.LET(_xlpm.x,'Input Group 1'!AH19,_xlpm.ref,'Input Group 1'!F19,_xlpm.D,'Input Group 1'!O19,_xlpm.dp,IF('Input Group 1'!$E19="",3,'Input Group 1'!$E19),_xlpm.xr,ROUND(_xlpm.x,_xlpm.dp),_xlpm.lo,ROUND(_xlpm.ref-_xlpm.D,_xlpm.dp),_xlpm.hi,ROUND(_xlpm.ref+_xlpm.D,_xlpm.dp),IF(_xlpm.xr&gt;=_xlpm.ref,(_xlpm.xr-_xlpm.ref)/(_xlpm.hi-_xlpm.ref),(_xlpm.xr-_xlpm.ref)/(_xlpm.ref-_xlpm.lo)))</f>
        <v>-0.86956521739130521</v>
      </c>
      <c r="K20" s="190">
        <f>_xlfn.LET(_xlpm.x,'Input Group 1'!AL19,_xlpm.ref,'Input Group 1'!F19,_xlpm.D,'Input Group 1'!O19,_xlpm.dp,IF('Input Group 1'!$E19="",3,'Input Group 1'!$E19),_xlpm.xr,ROUND(_xlpm.x,_xlpm.dp),_xlpm.lo,ROUND(_xlpm.ref-_xlpm.D,_xlpm.dp),_xlpm.hi,ROUND(_xlpm.ref+_xlpm.D,_xlpm.dp),IF(_xlpm.xr&gt;=_xlpm.ref,(_xlpm.xr-_xlpm.ref)/(_xlpm.hi-_xlpm.ref),(_xlpm.xr-_xlpm.ref)/(_xlpm.ref-_xlpm.lo)))</f>
        <v>0</v>
      </c>
    </row>
    <row r="21" spans="2:11" ht="15" customHeight="1" x14ac:dyDescent="0.3">
      <c r="B21" s="532"/>
      <c r="C21" s="151" t="str">
        <f>TRIM('Input Group 1'!B19)</f>
        <v>RBC</v>
      </c>
      <c r="D21" s="134" t="str">
        <f>'Input Group 1'!C19</f>
        <v>10^6/μL</v>
      </c>
      <c r="E21" s="135">
        <f>'Input Group 1'!D19</f>
        <v>992</v>
      </c>
      <c r="F21" s="136" t="s">
        <v>1</v>
      </c>
      <c r="G21" s="191">
        <f>_xlfn.LET(_xlpm.x,'Input Group 1'!W19,_xlpm.ref,'Input Group 1'!G19,_xlpm.D,'Input Group 1'!S19,_xlpm.dp,IF('Input Group 1'!$E19="",3,'Input Group 1'!$E19),_xlpm.xr,ROUND(_xlpm.x,_xlpm.dp),_xlpm.lo,ROUND(_xlpm.ref-_xlpm.D,_xlpm.dp),_xlpm.hi,ROUND(_xlpm.ref+_xlpm.D,_xlpm.dp),IF(_xlpm.xr&gt;=_xlpm.ref,(_xlpm.xr-_xlpm.ref)/(_xlpm.hi-_xlpm.ref),(_xlpm.xr-_xlpm.ref)/(_xlpm.ref-_xlpm.lo)))</f>
        <v>-0.26470588235294085</v>
      </c>
      <c r="H21" s="192">
        <f>_xlfn.LET(_xlpm.x,'Input Group 1'!AA19,_xlpm.ref,'Input Group 1'!G19,_xlpm.D,'Input Group 1'!S19,_xlpm.dp,IF('Input Group 1'!$E19="",3,'Input Group 1'!$E19),_xlpm.xr,ROUND(_xlpm.x,_xlpm.dp),_xlpm.lo,ROUND(_xlpm.ref-_xlpm.D,_xlpm.dp),_xlpm.hi,ROUND(_xlpm.ref+_xlpm.D,_xlpm.dp),IF(_xlpm.xr&gt;=_xlpm.ref,(_xlpm.xr-_xlpm.ref)/(_xlpm.hi-_xlpm.ref),(_xlpm.xr-_xlpm.ref)/(_xlpm.ref-_xlpm.lo)))</f>
        <v>0.11764705882352956</v>
      </c>
      <c r="I21" s="167">
        <f>_xlfn.LET(_xlpm.x,'Input Group 1'!AE19,_xlpm.ref,'Input Group 1'!G19,_xlpm.D,'Input Group 1'!S19,_xlpm.dp,IF('Input Group 1'!$E19="",3,'Input Group 1'!$E19),_xlpm.xr,ROUND(_xlpm.x,_xlpm.dp),_xlpm.lo,ROUND(_xlpm.ref-_xlpm.D,_xlpm.dp),_xlpm.hi,ROUND(_xlpm.ref+_xlpm.D,_xlpm.dp),IF(_xlpm.xr&gt;=_xlpm.ref,(_xlpm.xr-_xlpm.ref)/(_xlpm.hi-_xlpm.ref),(_xlpm.xr-_xlpm.ref)/(_xlpm.ref-_xlpm.lo)))</f>
        <v>-0.23529411764705913</v>
      </c>
      <c r="J21" s="192">
        <f>_xlfn.LET(_xlpm.x,'Input Group 1'!AI19,_xlpm.ref,'Input Group 1'!G19,_xlpm.D,'Input Group 1'!S19,_xlpm.dp,IF('Input Group 1'!$E19="",3,'Input Group 1'!$E19),_xlpm.xr,ROUND(_xlpm.x,_xlpm.dp),_xlpm.lo,ROUND(_xlpm.ref-_xlpm.D,_xlpm.dp),_xlpm.hi,ROUND(_xlpm.ref+_xlpm.D,_xlpm.dp),IF(_xlpm.xr&gt;=_xlpm.ref,(_xlpm.xr-_xlpm.ref)/(_xlpm.hi-_xlpm.ref),(_xlpm.xr-_xlpm.ref)/(_xlpm.ref-_xlpm.lo)))</f>
        <v>-0.11764705882352956</v>
      </c>
      <c r="K21" s="193">
        <f>_xlfn.LET(_xlpm.x,'Input Group 1'!AM19,_xlpm.ref,'Input Group 1'!G19,_xlpm.D,'Input Group 1'!S19,_xlpm.dp,IF('Input Group 1'!$E19="",3,'Input Group 1'!$E19),_xlpm.xr,ROUND(_xlpm.x,_xlpm.dp),_xlpm.lo,ROUND(_xlpm.ref-_xlpm.D,_xlpm.dp),_xlpm.hi,ROUND(_xlpm.ref+_xlpm.D,_xlpm.dp),IF(_xlpm.xr&gt;=_xlpm.ref,(_xlpm.xr-_xlpm.ref)/(_xlpm.hi-_xlpm.ref),(_xlpm.xr-_xlpm.ref)/(_xlpm.ref-_xlpm.lo)))</f>
        <v>-8.8235294117647828E-2</v>
      </c>
    </row>
    <row r="22" spans="2:11" ht="15" customHeight="1" x14ac:dyDescent="0.3">
      <c r="B22" s="532"/>
      <c r="C22" s="161" t="str">
        <f>TRIM('Input Group 1'!B20)</f>
        <v>Hb</v>
      </c>
      <c r="D22" s="119" t="str">
        <f>'Input Group 1'!C20</f>
        <v>g/dL</v>
      </c>
      <c r="E22" s="120">
        <f>'Input Group 1'!D20</f>
        <v>992</v>
      </c>
      <c r="F22" s="121" t="s">
        <v>0</v>
      </c>
      <c r="G22" s="194">
        <f>_xlfn.LET(_xlpm.x,'Input Group 1'!V20,_xlpm.ref,'Input Group 1'!F20,_xlpm.D,'Input Group 1'!O20,_xlpm.dp,IF('Input Group 1'!$E20="",3,'Input Group 1'!$E20),_xlpm.xr,ROUND(_xlpm.x,_xlpm.dp),_xlpm.lo,ROUND(_xlpm.ref-_xlpm.D,_xlpm.dp),_xlpm.hi,ROUND(_xlpm.ref+_xlpm.D,_xlpm.dp),IF(_xlpm.xr&gt;=_xlpm.ref,(_xlpm.xr-_xlpm.ref)/(_xlpm.hi-_xlpm.ref),(_xlpm.xr-_xlpm.ref)/(_xlpm.ref-_xlpm.lo)))</f>
        <v>0.30769230769230915</v>
      </c>
      <c r="H22" s="195">
        <f>_xlfn.LET(_xlpm.x,'Input Group 1'!Z20,_xlpm.ref,'Input Group 1'!F20,_xlpm.D,'Input Group 1'!O20,_xlpm.dp,IF('Input Group 1'!$E20="",3,'Input Group 1'!$E20),_xlpm.xr,ROUND(_xlpm.x,_xlpm.dp),_xlpm.lo,ROUND(_xlpm.ref-_xlpm.D,_xlpm.dp),_xlpm.hi,ROUND(_xlpm.ref+_xlpm.D,_xlpm.dp),IF(_xlpm.xr&gt;=_xlpm.ref,(_xlpm.xr-_xlpm.ref)/(_xlpm.hi-_xlpm.ref),(_xlpm.xr-_xlpm.ref)/(_xlpm.ref-_xlpm.lo)))</f>
        <v>0.61538461538461564</v>
      </c>
      <c r="I22" s="196">
        <f>_xlfn.LET(_xlpm.x,'Input Group 1'!AD20,_xlpm.ref,'Input Group 1'!F20,_xlpm.D,'Input Group 1'!O20,_xlpm.dp,IF('Input Group 1'!$E20="",3,'Input Group 1'!$E20),_xlpm.xr,ROUND(_xlpm.x,_xlpm.dp),_xlpm.lo,ROUND(_xlpm.ref-_xlpm.D,_xlpm.dp),_xlpm.hi,ROUND(_xlpm.ref+_xlpm.D,_xlpm.dp),IF(_xlpm.xr&gt;=_xlpm.ref,(_xlpm.xr-_xlpm.ref)/(_xlpm.hi-_xlpm.ref),(_xlpm.xr-_xlpm.ref)/(_xlpm.ref-_xlpm.lo)))</f>
        <v>1.076923076923078</v>
      </c>
      <c r="J22" s="197">
        <f>_xlfn.LET(_xlpm.x,'Input Group 1'!AH20,_xlpm.ref,'Input Group 1'!F20,_xlpm.D,'Input Group 1'!O20,_xlpm.dp,IF('Input Group 1'!$E20="",3,'Input Group 1'!$E20),_xlpm.xr,ROUND(_xlpm.x,_xlpm.dp),_xlpm.lo,ROUND(_xlpm.ref-_xlpm.D,_xlpm.dp),_xlpm.hi,ROUND(_xlpm.ref+_xlpm.D,_xlpm.dp),IF(_xlpm.xr&gt;=_xlpm.ref,(_xlpm.xr-_xlpm.ref)/(_xlpm.hi-_xlpm.ref),(_xlpm.xr-_xlpm.ref)/(_xlpm.ref-_xlpm.lo)))</f>
        <v>0.4615384615384624</v>
      </c>
      <c r="K22" s="198">
        <f>_xlfn.LET(_xlpm.x,'Input Group 1'!AL20,_xlpm.ref,'Input Group 1'!F20,_xlpm.D,'Input Group 1'!O20,_xlpm.dp,IF('Input Group 1'!$E20="",3,'Input Group 1'!$E20),_xlpm.xr,ROUND(_xlpm.x,_xlpm.dp),_xlpm.lo,ROUND(_xlpm.ref-_xlpm.D,_xlpm.dp),_xlpm.hi,ROUND(_xlpm.ref+_xlpm.D,_xlpm.dp),IF(_xlpm.xr&gt;=_xlpm.ref,(_xlpm.xr-_xlpm.ref)/(_xlpm.hi-_xlpm.ref),(_xlpm.xr-_xlpm.ref)/(_xlpm.ref-_xlpm.lo)))</f>
        <v>0.26153846153846128</v>
      </c>
    </row>
    <row r="23" spans="2:11" ht="15" customHeight="1" x14ac:dyDescent="0.3">
      <c r="B23" s="532"/>
      <c r="C23" s="161" t="str">
        <f>TRIM('Input Group 1'!B20)</f>
        <v>Hb</v>
      </c>
      <c r="D23" s="119" t="str">
        <f>'Input Group 1'!C20</f>
        <v>g/dL</v>
      </c>
      <c r="E23" s="120">
        <f>'Input Group 1'!D20</f>
        <v>992</v>
      </c>
      <c r="F23" s="121" t="s">
        <v>1</v>
      </c>
      <c r="G23" s="199">
        <f>_xlfn.LET(_xlpm.x,'Input Group 1'!W20,_xlpm.ref,'Input Group 1'!G20,_xlpm.D,'Input Group 1'!S20,_xlpm.dp,IF('Input Group 1'!$E20="",3,'Input Group 1'!$E20),_xlpm.xr,ROUND(_xlpm.x,_xlpm.dp),_xlpm.lo,ROUND(_xlpm.ref-_xlpm.D,_xlpm.dp),_xlpm.hi,ROUND(_xlpm.ref+_xlpm.D,_xlpm.dp),IF(_xlpm.xr&gt;=_xlpm.ref,(_xlpm.xr-_xlpm.ref)/(_xlpm.hi-_xlpm.ref),(_xlpm.xr-_xlpm.ref)/(_xlpm.ref-_xlpm.lo)))</f>
        <v>1.6249999999999973</v>
      </c>
      <c r="H23" s="177">
        <f>_xlfn.LET(_xlpm.x,'Input Group 1'!AA20,_xlpm.ref,'Input Group 1'!G20,_xlpm.D,'Input Group 1'!S20,_xlpm.dp,IF('Input Group 1'!$E20="",3,'Input Group 1'!$E20),_xlpm.xr,ROUND(_xlpm.x,_xlpm.dp),_xlpm.lo,ROUND(_xlpm.ref-_xlpm.D,_xlpm.dp),_xlpm.hi,ROUND(_xlpm.ref+_xlpm.D,_xlpm.dp),IF(_xlpm.xr&gt;=_xlpm.ref,(_xlpm.xr-_xlpm.ref)/(_xlpm.hi-_xlpm.ref),(_xlpm.xr-_xlpm.ref)/(_xlpm.ref-_xlpm.lo)))</f>
        <v>-0.14583333333333379</v>
      </c>
      <c r="I23" s="200">
        <f>_xlfn.LET(_xlpm.x,'Input Group 1'!AE20,_xlpm.ref,'Input Group 1'!G20,_xlpm.D,'Input Group 1'!S20,_xlpm.dp,IF('Input Group 1'!$E20="",3,'Input Group 1'!$E20),_xlpm.xr,ROUND(_xlpm.x,_xlpm.dp),_xlpm.lo,ROUND(_xlpm.ref-_xlpm.D,_xlpm.dp),_xlpm.hi,ROUND(_xlpm.ref+_xlpm.D,_xlpm.dp),IF(_xlpm.xr&gt;=_xlpm.ref,(_xlpm.xr-_xlpm.ref)/(_xlpm.hi-_xlpm.ref),(_xlpm.xr-_xlpm.ref)/(_xlpm.ref-_xlpm.lo)))</f>
        <v>-4.1666666666665741E-2</v>
      </c>
      <c r="J23" s="183">
        <f>_xlfn.LET(_xlpm.x,'Input Group 1'!AI20,_xlpm.ref,'Input Group 1'!G20,_xlpm.D,'Input Group 1'!S20,_xlpm.dp,IF('Input Group 1'!$E20="",3,'Input Group 1'!$E20),_xlpm.xr,ROUND(_xlpm.x,_xlpm.dp),_xlpm.lo,ROUND(_xlpm.ref-_xlpm.D,_xlpm.dp),_xlpm.hi,ROUND(_xlpm.ref+_xlpm.D,_xlpm.dp),IF(_xlpm.xr&gt;=_xlpm.ref,(_xlpm.xr-_xlpm.ref)/(_xlpm.hi-_xlpm.ref),(_xlpm.xr-_xlpm.ref)/(_xlpm.ref-_xlpm.lo)))</f>
        <v>0.16666666666666666</v>
      </c>
      <c r="K23" s="190">
        <f>_xlfn.LET(_xlpm.x,'Input Group 1'!AM20,_xlpm.ref,'Input Group 1'!G20,_xlpm.D,'Input Group 1'!S20,_xlpm.dp,IF('Input Group 1'!$E20="",3,'Input Group 1'!$E20),_xlpm.xr,ROUND(_xlpm.x,_xlpm.dp),_xlpm.lo,ROUND(_xlpm.ref-_xlpm.D,_xlpm.dp),_xlpm.hi,ROUND(_xlpm.ref+_xlpm.D,_xlpm.dp),IF(_xlpm.xr&gt;=_xlpm.ref,(_xlpm.xr-_xlpm.ref)/(_xlpm.hi-_xlpm.ref),(_xlpm.xr-_xlpm.ref)/(_xlpm.ref-_xlpm.lo)))</f>
        <v>-4.1666666666665741E-2</v>
      </c>
    </row>
    <row r="24" spans="2:11" ht="15" customHeight="1" x14ac:dyDescent="0.3">
      <c r="B24" s="532"/>
      <c r="C24" s="151" t="str">
        <f>TRIM('Input Group 1'!B21)</f>
        <v>WBC</v>
      </c>
      <c r="D24" s="134" t="str">
        <f>'Input Group 1'!C21</f>
        <v>10^3/μL</v>
      </c>
      <c r="E24" s="135">
        <f>'Input Group 1'!D21</f>
        <v>992</v>
      </c>
      <c r="F24" s="136" t="s">
        <v>0</v>
      </c>
      <c r="G24" s="201">
        <f>_xlfn.LET(_xlpm.x,'Input Group 1'!V21,_xlpm.ref,'Input Group 1'!F21,_xlpm.D,'Input Group 1'!O21,_xlpm.dp,IF('Input Group 1'!$E21="",3,'Input Group 1'!$E21),_xlpm.xr,ROUND(_xlpm.x,_xlpm.dp),_xlpm.lo,ROUND(_xlpm.ref-_xlpm.D,_xlpm.dp),_xlpm.hi,ROUND(_xlpm.ref+_xlpm.D,_xlpm.dp),IF(_xlpm.xr&gt;=_xlpm.ref,(_xlpm.xr-_xlpm.ref)/(_xlpm.hi-_xlpm.ref),(_xlpm.xr-_xlpm.ref)/(_xlpm.ref-_xlpm.lo)))</f>
        <v>1.7500000000000004</v>
      </c>
      <c r="H24" s="202">
        <f>_xlfn.LET(_xlpm.x,'Input Group 1'!Z21,_xlpm.ref,'Input Group 1'!F21,_xlpm.D,'Input Group 1'!O21,_xlpm.dp,IF('Input Group 1'!$E21="",3,'Input Group 1'!$E21),_xlpm.xr,ROUND(_xlpm.x,_xlpm.dp),_xlpm.lo,ROUND(_xlpm.ref-_xlpm.D,_xlpm.dp),_xlpm.hi,ROUND(_xlpm.ref+_xlpm.D,_xlpm.dp),IF(_xlpm.xr&gt;=_xlpm.ref,(_xlpm.xr-_xlpm.ref)/(_xlpm.hi-_xlpm.ref),(_xlpm.xr-_xlpm.ref)/(_xlpm.ref-_xlpm.lo)))</f>
        <v>7.1428571428571536E-2</v>
      </c>
      <c r="I24" s="203">
        <f>_xlfn.LET(_xlpm.x,'Input Group 1'!AD21,_xlpm.ref,'Input Group 1'!F21,_xlpm.D,'Input Group 1'!O21,_xlpm.dp,IF('Input Group 1'!$E21="",3,'Input Group 1'!$E21),_xlpm.xr,ROUND(_xlpm.x,_xlpm.dp),_xlpm.lo,ROUND(_xlpm.ref-_xlpm.D,_xlpm.dp),_xlpm.hi,ROUND(_xlpm.ref+_xlpm.D,_xlpm.dp),IF(_xlpm.xr&gt;=_xlpm.ref,(_xlpm.xr-_xlpm.ref)/(_xlpm.hi-_xlpm.ref),(_xlpm.xr-_xlpm.ref)/(_xlpm.ref-_xlpm.lo)))</f>
        <v>0.64285714285714224</v>
      </c>
      <c r="J24" s="204">
        <f>_xlfn.LET(_xlpm.x,'Input Group 1'!AH21,_xlpm.ref,'Input Group 1'!F21,_xlpm.D,'Input Group 1'!O21,_xlpm.dp,IF('Input Group 1'!$E21="",3,'Input Group 1'!$E21),_xlpm.xr,ROUND(_xlpm.x,_xlpm.dp),_xlpm.lo,ROUND(_xlpm.ref-_xlpm.D,_xlpm.dp),_xlpm.hi,ROUND(_xlpm.ref+_xlpm.D,_xlpm.dp),IF(_xlpm.xr&gt;=_xlpm.ref,(_xlpm.xr-_xlpm.ref)/(_xlpm.hi-_xlpm.ref),(_xlpm.xr-_xlpm.ref)/(_xlpm.ref-_xlpm.lo)))</f>
        <v>0.57142857142857073</v>
      </c>
      <c r="K24" s="205">
        <f>_xlfn.LET(_xlpm.x,'Input Group 1'!AL21,_xlpm.ref,'Input Group 1'!F21,_xlpm.D,'Input Group 1'!O21,_xlpm.dp,IF('Input Group 1'!$E21="",3,'Input Group 1'!$E21),_xlpm.xr,ROUND(_xlpm.x,_xlpm.dp),_xlpm.lo,ROUND(_xlpm.ref-_xlpm.D,_xlpm.dp),_xlpm.hi,ROUND(_xlpm.ref+_xlpm.D,_xlpm.dp),IF(_xlpm.xr&gt;=_xlpm.ref,(_xlpm.xr-_xlpm.ref)/(_xlpm.hi-_xlpm.ref),(_xlpm.xr-_xlpm.ref)/(_xlpm.ref-_xlpm.lo)))</f>
        <v>0.32142857142857112</v>
      </c>
    </row>
    <row r="25" spans="2:11" ht="15" customHeight="1" x14ac:dyDescent="0.3">
      <c r="B25" s="532"/>
      <c r="C25" s="151" t="str">
        <f>TRIM('Input Group 1'!B21)</f>
        <v>WBC</v>
      </c>
      <c r="D25" s="134" t="str">
        <f>'Input Group 1'!C21</f>
        <v>10^3/μL</v>
      </c>
      <c r="E25" s="135">
        <f>'Input Group 1'!D21</f>
        <v>992</v>
      </c>
      <c r="F25" s="136" t="s">
        <v>1</v>
      </c>
      <c r="G25" s="202">
        <f>_xlfn.LET(_xlpm.x,'Input Group 1'!W21,_xlpm.ref,'Input Group 1'!G21,_xlpm.D,'Input Group 1'!S21,_xlpm.dp,IF('Input Group 1'!$E21="",3,'Input Group 1'!$E21),_xlpm.xr,ROUND(_xlpm.x,_xlpm.dp),_xlpm.lo,ROUND(_xlpm.ref-_xlpm.D,_xlpm.dp),_xlpm.hi,ROUND(_xlpm.ref+_xlpm.D,_xlpm.dp),IF(_xlpm.xr&gt;=_xlpm.ref,(_xlpm.xr-_xlpm.ref)/(_xlpm.hi-_xlpm.ref),(_xlpm.xr-_xlpm.ref)/(_xlpm.ref-_xlpm.lo)))</f>
        <v>7.1428571428570065E-2</v>
      </c>
      <c r="H25" s="206">
        <f>_xlfn.LET(_xlpm.x,'Input Group 1'!AA21,_xlpm.ref,'Input Group 1'!G21,_xlpm.D,'Input Group 1'!S21,_xlpm.dp,IF('Input Group 1'!$E21="",3,'Input Group 1'!$E21),_xlpm.xr,ROUND(_xlpm.x,_xlpm.dp),_xlpm.lo,ROUND(_xlpm.ref-_xlpm.D,_xlpm.dp),_xlpm.hi,ROUND(_xlpm.ref+_xlpm.D,_xlpm.dp),IF(_xlpm.xr&gt;=_xlpm.ref,(_xlpm.xr-_xlpm.ref)/(_xlpm.hi-_xlpm.ref),(_xlpm.xr-_xlpm.ref)/(_xlpm.ref-_xlpm.lo)))</f>
        <v>0.64285714285714335</v>
      </c>
      <c r="I25" s="207">
        <f>_xlfn.LET(_xlpm.x,'Input Group 1'!AE21,_xlpm.ref,'Input Group 1'!G21,_xlpm.D,'Input Group 1'!S21,_xlpm.dp,IF('Input Group 1'!$E21="",3,'Input Group 1'!$E21),_xlpm.xr,ROUND(_xlpm.x,_xlpm.dp),_xlpm.lo,ROUND(_xlpm.ref-_xlpm.D,_xlpm.dp),_xlpm.hi,ROUND(_xlpm.ref+_xlpm.D,_xlpm.dp),IF(_xlpm.xr&gt;=_xlpm.ref,(_xlpm.xr-_xlpm.ref)/(_xlpm.hi-_xlpm.ref),(_xlpm.xr-_xlpm.ref)/(_xlpm.ref-_xlpm.lo)))</f>
        <v>0.57142857142857328</v>
      </c>
      <c r="J25" s="208">
        <f>_xlfn.LET(_xlpm.x,'Input Group 1'!AI21,_xlpm.ref,'Input Group 1'!G21,_xlpm.D,'Input Group 1'!S21,_xlpm.dp,IF('Input Group 1'!$E21="",3,'Input Group 1'!$E21),_xlpm.xr,ROUND(_xlpm.x,_xlpm.dp),_xlpm.lo,ROUND(_xlpm.ref-_xlpm.D,_xlpm.dp),_xlpm.hi,ROUND(_xlpm.ref+_xlpm.D,_xlpm.dp),IF(_xlpm.xr&gt;=_xlpm.ref,(_xlpm.xr-_xlpm.ref)/(_xlpm.hi-_xlpm.ref),(_xlpm.xr-_xlpm.ref)/(_xlpm.ref-_xlpm.lo)))</f>
        <v>0.78571428571428659</v>
      </c>
      <c r="K25" s="209">
        <f>_xlfn.LET(_xlpm.x,'Input Group 1'!AM21,_xlpm.ref,'Input Group 1'!G21,_xlpm.D,'Input Group 1'!S21,_xlpm.dp,IF('Input Group 1'!$E21="",3,'Input Group 1'!$E21),_xlpm.xr,ROUND(_xlpm.x,_xlpm.dp),_xlpm.lo,ROUND(_xlpm.ref-_xlpm.D,_xlpm.dp),_xlpm.hi,ROUND(_xlpm.ref+_xlpm.D,_xlpm.dp),IF(_xlpm.xr&gt;=_xlpm.ref,(_xlpm.xr-_xlpm.ref)/(_xlpm.hi-_xlpm.ref),(_xlpm.xr-_xlpm.ref)/(_xlpm.ref-_xlpm.lo)))</f>
        <v>0.75000000000000155</v>
      </c>
    </row>
    <row r="26" spans="2:11" ht="15" customHeight="1" x14ac:dyDescent="0.3">
      <c r="B26" s="532"/>
      <c r="C26" s="161" t="str">
        <f>TRIM('Input Group 1'!B22)</f>
        <v>LYM</v>
      </c>
      <c r="D26" s="119" t="str">
        <f>'Input Group 1'!C22</f>
        <v>10^3/μL</v>
      </c>
      <c r="E26" s="120">
        <f>'Input Group 1'!D22</f>
        <v>992</v>
      </c>
      <c r="F26" s="121" t="s">
        <v>0</v>
      </c>
      <c r="G26" s="122">
        <f>_xlfn.LET(_xlpm.x,'Input Group 1'!V22,_xlpm.ref,'Input Group 1'!F22,_xlpm.D,'Input Group 1'!O22,_xlpm.dp,IF('Input Group 1'!$E22="",3,'Input Group 1'!$E22),_xlpm.xr,ROUND(_xlpm.x,_xlpm.dp),_xlpm.lo,ROUND(_xlpm.ref-_xlpm.D,_xlpm.dp),_xlpm.hi,ROUND(_xlpm.ref+_xlpm.D,_xlpm.dp),IF(_xlpm.xr&gt;=_xlpm.ref,(_xlpm.xr-_xlpm.ref)/(_xlpm.hi-_xlpm.ref),(_xlpm.xr-_xlpm.ref)/(_xlpm.ref-_xlpm.lo)))</f>
        <v>-2.9166666666666647</v>
      </c>
      <c r="H26" s="137">
        <f>_xlfn.LET(_xlpm.x,'Input Group 1'!Z22,_xlpm.ref,'Input Group 1'!F22,_xlpm.D,'Input Group 1'!O22,_xlpm.dp,IF('Input Group 1'!$E22="",3,'Input Group 1'!$E22),_xlpm.xr,ROUND(_xlpm.x,_xlpm.dp),_xlpm.lo,ROUND(_xlpm.ref-_xlpm.D,_xlpm.dp),_xlpm.hi,ROUND(_xlpm.ref+_xlpm.D,_xlpm.dp),IF(_xlpm.xr&gt;=_xlpm.ref,(_xlpm.xr-_xlpm.ref)/(_xlpm.hi-_xlpm.ref),(_xlpm.xr-_xlpm.ref)/(_xlpm.ref-_xlpm.lo)))</f>
        <v>0</v>
      </c>
      <c r="I26" s="210">
        <f>_xlfn.LET(_xlpm.x,'Input Group 1'!AD22,_xlpm.ref,'Input Group 1'!F22,_xlpm.D,'Input Group 1'!O22,_xlpm.dp,IF('Input Group 1'!$E22="",3,'Input Group 1'!$E22),_xlpm.xr,ROUND(_xlpm.x,_xlpm.dp),_xlpm.lo,ROUND(_xlpm.ref-_xlpm.D,_xlpm.dp),_xlpm.hi,ROUND(_xlpm.ref+_xlpm.D,_xlpm.dp),IF(_xlpm.xr&gt;=_xlpm.ref,(_xlpm.xr-_xlpm.ref)/(_xlpm.hi-_xlpm.ref),(_xlpm.xr-_xlpm.ref)/(_xlpm.ref-_xlpm.lo)))</f>
        <v>0.41666666666666746</v>
      </c>
      <c r="J26" s="147">
        <f>_xlfn.LET(_xlpm.x,'Input Group 1'!AH22,_xlpm.ref,'Input Group 1'!F22,_xlpm.D,'Input Group 1'!O22,_xlpm.dp,IF('Input Group 1'!$E22="",3,'Input Group 1'!$E22),_xlpm.xr,ROUND(_xlpm.x,_xlpm.dp),_xlpm.lo,ROUND(_xlpm.ref-_xlpm.D,_xlpm.dp),_xlpm.hi,ROUND(_xlpm.ref+_xlpm.D,_xlpm.dp),IF(_xlpm.xr&gt;=_xlpm.ref,(_xlpm.xr-_xlpm.ref)/(_xlpm.hi-_xlpm.ref),(_xlpm.xr-_xlpm.ref)/(_xlpm.ref-_xlpm.lo)))</f>
        <v>0.41666666666666746</v>
      </c>
      <c r="K26" s="211">
        <f>_xlfn.LET(_xlpm.x,'Input Group 1'!AL22,_xlpm.ref,'Input Group 1'!F22,_xlpm.D,'Input Group 1'!O22,_xlpm.dp,IF('Input Group 1'!$E22="",3,'Input Group 1'!$E22),_xlpm.xr,ROUND(_xlpm.x,_xlpm.dp),_xlpm.lo,ROUND(_xlpm.ref-_xlpm.D,_xlpm.dp),_xlpm.hi,ROUND(_xlpm.ref+_xlpm.D,_xlpm.dp),IF(_xlpm.xr&gt;=_xlpm.ref,(_xlpm.xr-_xlpm.ref)/(_xlpm.hi-_xlpm.ref),(_xlpm.xr-_xlpm.ref)/(_xlpm.ref-_xlpm.lo)))</f>
        <v>-0.66666666666666663</v>
      </c>
    </row>
    <row r="27" spans="2:11" ht="15" customHeight="1" x14ac:dyDescent="0.3">
      <c r="B27" s="532"/>
      <c r="C27" s="161" t="str">
        <f>TRIM('Input Group 1'!B22)</f>
        <v>LYM</v>
      </c>
      <c r="D27" s="119" t="str">
        <f>'Input Group 1'!C22</f>
        <v>10^3/μL</v>
      </c>
      <c r="E27" s="120">
        <f>'Input Group 1'!D22</f>
        <v>992</v>
      </c>
      <c r="F27" s="121" t="s">
        <v>1</v>
      </c>
      <c r="G27" s="158">
        <f>_xlfn.LET(_xlpm.x,'Input Group 1'!W22,_xlpm.ref,'Input Group 1'!G22,_xlpm.D,'Input Group 1'!S22,_xlpm.dp,IF('Input Group 1'!$E22="",3,'Input Group 1'!$E22),_xlpm.xr,ROUND(_xlpm.x,_xlpm.dp),_xlpm.lo,ROUND(_xlpm.ref-_xlpm.D,_xlpm.dp),_xlpm.hi,ROUND(_xlpm.ref+_xlpm.D,_xlpm.dp),IF(_xlpm.xr&gt;=_xlpm.ref,(_xlpm.xr-_xlpm.ref)/(_xlpm.hi-_xlpm.ref),(_xlpm.xr-_xlpm.ref)/(_xlpm.ref-_xlpm.lo)))</f>
        <v>-0.4399999999999995</v>
      </c>
      <c r="H27" s="212">
        <f>_xlfn.LET(_xlpm.x,'Input Group 1'!AA22,_xlpm.ref,'Input Group 1'!G22,_xlpm.D,'Input Group 1'!S22,_xlpm.dp,IF('Input Group 1'!$E22="",3,'Input Group 1'!$E22),_xlpm.xr,ROUND(_xlpm.x,_xlpm.dp),_xlpm.lo,ROUND(_xlpm.ref-_xlpm.D,_xlpm.dp),_xlpm.hi,ROUND(_xlpm.ref+_xlpm.D,_xlpm.dp),IF(_xlpm.xr&gt;=_xlpm.ref,(_xlpm.xr-_xlpm.ref)/(_xlpm.hi-_xlpm.ref),(_xlpm.xr-_xlpm.ref)/(_xlpm.ref-_xlpm.lo)))</f>
        <v>0.80000000000000071</v>
      </c>
      <c r="I27" s="213">
        <f>_xlfn.LET(_xlpm.x,'Input Group 1'!AE22,_xlpm.ref,'Input Group 1'!G22,_xlpm.D,'Input Group 1'!S22,_xlpm.dp,IF('Input Group 1'!$E22="",3,'Input Group 1'!$E22),_xlpm.xr,ROUND(_xlpm.x,_xlpm.dp),_xlpm.lo,ROUND(_xlpm.ref-_xlpm.D,_xlpm.dp),_xlpm.hi,ROUND(_xlpm.ref+_xlpm.D,_xlpm.dp),IF(_xlpm.xr&gt;=_xlpm.ref,(_xlpm.xr-_xlpm.ref)/(_xlpm.hi-_xlpm.ref),(_xlpm.xr-_xlpm.ref)/(_xlpm.ref-_xlpm.lo)))</f>
        <v>0.12000000000000099</v>
      </c>
      <c r="J27" s="214">
        <f>_xlfn.LET(_xlpm.x,'Input Group 1'!AI22,_xlpm.ref,'Input Group 1'!G22,_xlpm.D,'Input Group 1'!S22,_xlpm.dp,IF('Input Group 1'!$E22="",3,'Input Group 1'!$E22),_xlpm.xr,ROUND(_xlpm.x,_xlpm.dp),_xlpm.lo,ROUND(_xlpm.ref-_xlpm.D,_xlpm.dp),_xlpm.hi,ROUND(_xlpm.ref+_xlpm.D,_xlpm.dp),IF(_xlpm.xr&gt;=_xlpm.ref,(_xlpm.xr-_xlpm.ref)/(_xlpm.hi-_xlpm.ref),(_xlpm.xr-_xlpm.ref)/(_xlpm.ref-_xlpm.lo)))</f>
        <v>0.91999999999999993</v>
      </c>
      <c r="K27" s="215">
        <f>_xlfn.LET(_xlpm.x,'Input Group 1'!AM22,_xlpm.ref,'Input Group 1'!G22,_xlpm.D,'Input Group 1'!S22,_xlpm.dp,IF('Input Group 1'!$E22="",3,'Input Group 1'!$E22),_xlpm.xr,ROUND(_xlpm.x,_xlpm.dp),_xlpm.lo,ROUND(_xlpm.ref-_xlpm.D,_xlpm.dp),_xlpm.hi,ROUND(_xlpm.ref+_xlpm.D,_xlpm.dp),IF(_xlpm.xr&gt;=_xlpm.ref,(_xlpm.xr-_xlpm.ref)/(_xlpm.hi-_xlpm.ref),(_xlpm.xr-_xlpm.ref)/(_xlpm.ref-_xlpm.lo)))</f>
        <v>-0.75999999999999979</v>
      </c>
    </row>
    <row r="28" spans="2:11" ht="15" customHeight="1" x14ac:dyDescent="0.3">
      <c r="B28" s="532"/>
      <c r="C28" s="151" t="str">
        <f>TRIM('Input Group 1'!B23)</f>
        <v>PLT</v>
      </c>
      <c r="D28" s="134" t="str">
        <f>'Input Group 1'!C23</f>
        <v>10^3/μL</v>
      </c>
      <c r="E28" s="135">
        <f>'Input Group 1'!D23</f>
        <v>992</v>
      </c>
      <c r="F28" s="136" t="s">
        <v>0</v>
      </c>
      <c r="G28" s="216">
        <f>_xlfn.LET(_xlpm.x,'Input Group 1'!V23,_xlpm.ref,'Input Group 1'!F23,_xlpm.D,'Input Group 1'!O23,_xlpm.dp,IF('Input Group 1'!$E23="",3,'Input Group 1'!$E23),_xlpm.xr,ROUND(_xlpm.x,_xlpm.dp),_xlpm.lo,ROUND(_xlpm.ref-_xlpm.D,_xlpm.dp),_xlpm.hi,ROUND(_xlpm.ref+_xlpm.D,_xlpm.dp),IF(_xlpm.xr&gt;=_xlpm.ref,(_xlpm.xr-_xlpm.ref)/(_xlpm.hi-_xlpm.ref),(_xlpm.xr-_xlpm.ref)/(_xlpm.ref-_xlpm.lo)))</f>
        <v>-1.8947368421052648</v>
      </c>
      <c r="H28" s="176">
        <f>_xlfn.LET(_xlpm.x,'Input Group 1'!Z23,_xlpm.ref,'Input Group 1'!F23,_xlpm.D,'Input Group 1'!O23,_xlpm.dp,IF('Input Group 1'!$E23="",3,'Input Group 1'!$E23),_xlpm.xr,ROUND(_xlpm.x,_xlpm.dp),_xlpm.lo,ROUND(_xlpm.ref-_xlpm.D,_xlpm.dp),_xlpm.hi,ROUND(_xlpm.ref+_xlpm.D,_xlpm.dp),IF(_xlpm.xr&gt;=_xlpm.ref,(_xlpm.xr-_xlpm.ref)/(_xlpm.hi-_xlpm.ref),(_xlpm.xr-_xlpm.ref)/(_xlpm.ref-_xlpm.lo)))</f>
        <v>-9.0225563909773696E-2</v>
      </c>
      <c r="I28" s="217">
        <f>_xlfn.LET(_xlpm.x,'Input Group 1'!AD23,_xlpm.ref,'Input Group 1'!F23,_xlpm.D,'Input Group 1'!O23,_xlpm.dp,IF('Input Group 1'!$E23="",3,'Input Group 1'!$E23),_xlpm.xr,ROUND(_xlpm.x,_xlpm.dp),_xlpm.lo,ROUND(_xlpm.ref-_xlpm.D,_xlpm.dp),_xlpm.hi,ROUND(_xlpm.ref+_xlpm.D,_xlpm.dp),IF(_xlpm.xr&gt;=_xlpm.ref,(_xlpm.xr-_xlpm.ref)/(_xlpm.hi-_xlpm.ref),(_xlpm.xr-_xlpm.ref)/(_xlpm.ref-_xlpm.lo)))</f>
        <v>0.58646616541353414</v>
      </c>
      <c r="J28" s="218">
        <f>_xlfn.LET(_xlpm.x,'Input Group 1'!AH23,_xlpm.ref,'Input Group 1'!F23,_xlpm.D,'Input Group 1'!O23,_xlpm.dp,IF('Input Group 1'!$E23="",3,'Input Group 1'!$E23),_xlpm.xr,ROUND(_xlpm.x,_xlpm.dp),_xlpm.lo,ROUND(_xlpm.ref-_xlpm.D,_xlpm.dp),_xlpm.hi,ROUND(_xlpm.ref+_xlpm.D,_xlpm.dp),IF(_xlpm.xr&gt;=_xlpm.ref,(_xlpm.xr-_xlpm.ref)/(_xlpm.hi-_xlpm.ref),(_xlpm.xr-_xlpm.ref)/(_xlpm.ref-_xlpm.lo)))</f>
        <v>-1.1428571428571435</v>
      </c>
      <c r="K28" s="219">
        <f>_xlfn.LET(_xlpm.x,'Input Group 1'!AL23,_xlpm.ref,'Input Group 1'!F23,_xlpm.D,'Input Group 1'!O23,_xlpm.dp,IF('Input Group 1'!$E23="",3,'Input Group 1'!$E23),_xlpm.xr,ROUND(_xlpm.x,_xlpm.dp),_xlpm.lo,ROUND(_xlpm.ref-_xlpm.D,_xlpm.dp),_xlpm.hi,ROUND(_xlpm.ref+_xlpm.D,_xlpm.dp),IF(_xlpm.xr&gt;=_xlpm.ref,(_xlpm.xr-_xlpm.ref)/(_xlpm.hi-_xlpm.ref),(_xlpm.xr-_xlpm.ref)/(_xlpm.ref-_xlpm.lo)))</f>
        <v>-0.61654135338345861</v>
      </c>
    </row>
    <row r="29" spans="2:11" ht="15" customHeight="1" thickBot="1" x14ac:dyDescent="0.35">
      <c r="B29" s="533"/>
      <c r="C29" s="151" t="str">
        <f>TRIM('Input Group 1'!B23)</f>
        <v>PLT</v>
      </c>
      <c r="D29" s="134" t="str">
        <f>'Input Group 1'!C23</f>
        <v>10^3/μL</v>
      </c>
      <c r="E29" s="220">
        <f>'Input Group 1'!D23</f>
        <v>992</v>
      </c>
      <c r="F29" s="136" t="s">
        <v>1</v>
      </c>
      <c r="G29" s="221">
        <f>_xlfn.LET(_xlpm.x,'Input Group 1'!W23,_xlpm.ref,'Input Group 1'!G23,_xlpm.D,'Input Group 1'!S23,_xlpm.dp,IF('Input Group 1'!$E23="",3,'Input Group 1'!$E23),_xlpm.xr,ROUND(_xlpm.x,_xlpm.dp),_xlpm.lo,ROUND(_xlpm.ref-_xlpm.D,_xlpm.dp),_xlpm.hi,ROUND(_xlpm.ref+_xlpm.D,_xlpm.dp),IF(_xlpm.xr&gt;=_xlpm.ref,(_xlpm.xr-_xlpm.ref)/(_xlpm.hi-_xlpm.ref),(_xlpm.xr-_xlpm.ref)/(_xlpm.ref-_xlpm.lo)))</f>
        <v>-3.3783783783783758E-2</v>
      </c>
      <c r="H29" s="221">
        <f>_xlfn.LET(_xlpm.x,'Input Group 1'!AA23,_xlpm.ref,'Input Group 1'!G23,_xlpm.D,'Input Group 1'!S23,_xlpm.dp,IF('Input Group 1'!$E23="",3,'Input Group 1'!$E23),_xlpm.xr,ROUND(_xlpm.x,_xlpm.dp),_xlpm.lo,ROUND(_xlpm.ref-_xlpm.D,_xlpm.dp),_xlpm.hi,ROUND(_xlpm.ref+_xlpm.D,_xlpm.dp),IF(_xlpm.xr&gt;=_xlpm.ref,(_xlpm.xr-_xlpm.ref)/(_xlpm.hi-_xlpm.ref),(_xlpm.xr-_xlpm.ref)/(_xlpm.ref-_xlpm.lo)))</f>
        <v>3.3783783783783758E-2</v>
      </c>
      <c r="I29" s="222">
        <f>_xlfn.LET(_xlpm.x,'Input Group 1'!AE23,_xlpm.ref,'Input Group 1'!G23,_xlpm.D,'Input Group 1'!S23,_xlpm.dp,IF('Input Group 1'!$E23="",3,'Input Group 1'!$E23),_xlpm.xr,ROUND(_xlpm.x,_xlpm.dp),_xlpm.lo,ROUND(_xlpm.ref-_xlpm.D,_xlpm.dp),_xlpm.hi,ROUND(_xlpm.ref+_xlpm.D,_xlpm.dp),IF(_xlpm.xr&gt;=_xlpm.ref,(_xlpm.xr-_xlpm.ref)/(_xlpm.hi-_xlpm.ref),(_xlpm.xr-_xlpm.ref)/(_xlpm.ref-_xlpm.lo)))</f>
        <v>-0.74324324324324265</v>
      </c>
      <c r="J29" s="223">
        <f>_xlfn.LET(_xlpm.x,'Input Group 1'!AI23,_xlpm.ref,'Input Group 1'!G23,_xlpm.D,'Input Group 1'!S23,_xlpm.dp,IF('Input Group 1'!$E23="",3,'Input Group 1'!$E23),_xlpm.xr,ROUND(_xlpm.x,_xlpm.dp),_xlpm.lo,ROUND(_xlpm.ref-_xlpm.D,_xlpm.dp),_xlpm.hi,ROUND(_xlpm.ref+_xlpm.D,_xlpm.dp),IF(_xlpm.xr&gt;=_xlpm.ref,(_xlpm.xr-_xlpm.ref)/(_xlpm.hi-_xlpm.ref),(_xlpm.xr-_xlpm.ref)/(_xlpm.ref-_xlpm.lo)))</f>
        <v>-0.10135135135135127</v>
      </c>
      <c r="K29" s="224">
        <f>_xlfn.LET(_xlpm.x,'Input Group 1'!AM23,_xlpm.ref,'Input Group 1'!G23,_xlpm.D,'Input Group 1'!S23,_xlpm.dp,IF('Input Group 1'!$E23="",3,'Input Group 1'!$E23),_xlpm.xr,ROUND(_xlpm.x,_xlpm.dp),_xlpm.lo,ROUND(_xlpm.ref-_xlpm.D,_xlpm.dp),_xlpm.hi,ROUND(_xlpm.ref+_xlpm.D,_xlpm.dp),IF(_xlpm.xr&gt;=_xlpm.ref,(_xlpm.xr-_xlpm.ref)/(_xlpm.hi-_xlpm.ref),(_xlpm.xr-_xlpm.ref)/(_xlpm.ref-_xlpm.lo)))</f>
        <v>-0.33783783783783755</v>
      </c>
    </row>
    <row r="30" spans="2:11" ht="15" customHeight="1" thickTop="1" x14ac:dyDescent="0.3">
      <c r="B30" s="552" t="s">
        <v>111</v>
      </c>
      <c r="C30" s="225" t="str">
        <f>TRIM('Input Group 2'!B12)</f>
        <v>Testcase1</v>
      </c>
      <c r="D30" s="226" t="str">
        <f>'Input Group 2'!C12</f>
        <v>n/a</v>
      </c>
      <c r="E30" s="120">
        <f>'Input Group 2'!D12</f>
        <v>500</v>
      </c>
      <c r="F30" s="227" t="s">
        <v>0</v>
      </c>
      <c r="G30" s="228">
        <f>_xlfn.LET(_xlpm.x,'Input Group 2'!V12,_xlpm.ref,'Input Group 2'!F12,_xlpm.D,'Input Group 2'!O12,_xlpm.dp,IF('Input Group 2'!$E12="",3,'Input Group 2'!$E12),_xlpm.xr,ROUND(_xlpm.x,_xlpm.dp),_xlpm.lo,ROUND(_xlpm.ref-_xlpm.D,_xlpm.dp),_xlpm.hi,ROUND(_xlpm.ref+_xlpm.D,_xlpm.dp),IF(_xlpm.xr&gt;=_xlpm.ref,(_xlpm.xr-_xlpm.ref)/(_xlpm.hi-_xlpm.ref),(_xlpm.xr-_xlpm.ref)/(_xlpm.ref-_xlpm.lo)))</f>
        <v>1.9000000000000004</v>
      </c>
      <c r="H30" s="229">
        <f>_xlfn.LET(_xlpm.x,'Input Group 2'!Z12,_xlpm.ref,'Input Group 2'!F12,_xlpm.D,'Input Group 2'!O12,_xlpm.dp,IF('Input Group 2'!$E12="",3,'Input Group 2'!$E12),_xlpm.xr,ROUND(_xlpm.x,_xlpm.dp),_xlpm.lo,ROUND(_xlpm.ref-_xlpm.D,_xlpm.dp),_xlpm.hi,ROUND(_xlpm.ref+_xlpm.D,_xlpm.dp),IF(_xlpm.xr&gt;=_xlpm.ref,(_xlpm.xr-_xlpm.ref)/(_xlpm.hi-_xlpm.ref),(_xlpm.xr-_xlpm.ref)/(_xlpm.ref-_xlpm.lo)))</f>
        <v>0.80000000000000071</v>
      </c>
      <c r="I30" s="230">
        <f>_xlfn.LET(_xlpm.x,'Input Group 2'!AD12,_xlpm.ref,'Input Group 2'!F12,_xlpm.D,'Input Group 2'!O12,_xlpm.dp,IF('Input Group 2'!$E12="",3,'Input Group 2'!$E12),_xlpm.xr,ROUND(_xlpm.x,_xlpm.dp),_xlpm.lo,ROUND(_xlpm.ref-_xlpm.D,_xlpm.dp),_xlpm.hi,ROUND(_xlpm.ref+_xlpm.D,_xlpm.dp),IF(_xlpm.xr&gt;=_xlpm.ref,(_xlpm.xr-_xlpm.ref)/(_xlpm.hi-_xlpm.ref),(_xlpm.xr-_xlpm.ref)/(_xlpm.ref-_xlpm.lo)))</f>
        <v>0.20000000000000107</v>
      </c>
      <c r="J30" s="231">
        <f>_xlfn.LET(_xlpm.x,'Input Group 2'!AH12,_xlpm.ref,'Input Group 2'!F12,_xlpm.D,'Input Group 2'!O12,_xlpm.dp,IF('Input Group 2'!$E12="",3,'Input Group 2'!$E12),_xlpm.xr,ROUND(_xlpm.x,_xlpm.dp),_xlpm.lo,ROUND(_xlpm.ref-_xlpm.D,_xlpm.dp),_xlpm.hi,ROUND(_xlpm.ref+_xlpm.D,_xlpm.dp),IF(_xlpm.xr&gt;=_xlpm.ref,(_xlpm.xr-_xlpm.ref)/(_xlpm.hi-_xlpm.ref),(_xlpm.xr-_xlpm.ref)/(_xlpm.ref-_xlpm.lo)))</f>
        <v>1</v>
      </c>
      <c r="K30" s="232">
        <f>_xlfn.LET(_xlpm.x,'Input Group 2'!AL12,_xlpm.ref,'Input Group 2'!F12,_xlpm.D,'Input Group 2'!O12,_xlpm.dp,IF('Input Group 2'!$E12="",3,'Input Group 2'!$E12),_xlpm.xr,ROUND(_xlpm.x,_xlpm.dp),_xlpm.lo,ROUND(_xlpm.ref-_xlpm.D,_xlpm.dp),_xlpm.hi,ROUND(_xlpm.ref+_xlpm.D,_xlpm.dp),IF(_xlpm.xr&gt;=_xlpm.ref,(_xlpm.xr-_xlpm.ref)/(_xlpm.hi-_xlpm.ref),(_xlpm.xr-_xlpm.ref)/(_xlpm.ref-_xlpm.lo)))</f>
        <v>0.60000000000000142</v>
      </c>
    </row>
    <row r="31" spans="2:11" ht="15" customHeight="1" x14ac:dyDescent="0.3">
      <c r="B31" s="553"/>
      <c r="C31" s="233" t="str">
        <f>TRIM('Input Group 2'!B12)</f>
        <v>Testcase1</v>
      </c>
      <c r="D31" s="119" t="str">
        <f>'Input Group 2'!C12</f>
        <v>n/a</v>
      </c>
      <c r="E31" s="120">
        <f>'Input Group 2'!D12</f>
        <v>500</v>
      </c>
      <c r="F31" s="121" t="s">
        <v>1</v>
      </c>
      <c r="G31" s="234">
        <f>_xlfn.LET(_xlpm.x,'Input Group 2'!W12,_xlpm.ref,'Input Group 2'!G12,_xlpm.D,'Input Group 2'!S12,_xlpm.dp,IF('Input Group 2'!$E12="",3,'Input Group 2'!$E12),_xlpm.xr,ROUND(_xlpm.x,_xlpm.dp),_xlpm.lo,ROUND(_xlpm.ref-_xlpm.D,_xlpm.dp),_xlpm.hi,ROUND(_xlpm.ref+_xlpm.D,_xlpm.dp),IF(_xlpm.xr&gt;=_xlpm.ref,(_xlpm.xr-_xlpm.ref)/(_xlpm.hi-_xlpm.ref),(_xlpm.xr-_xlpm.ref)/(_xlpm.ref-_xlpm.lo)))</f>
        <v>1.208333333333333</v>
      </c>
      <c r="H31" s="235">
        <f>_xlfn.LET(_xlpm.x,'Input Group 2'!AA12,_xlpm.ref,'Input Group 2'!G12,_xlpm.D,'Input Group 2'!S12,_xlpm.dp,IF('Input Group 2'!$E12="",3,'Input Group 2'!$E12),_xlpm.xr,ROUND(_xlpm.x,_xlpm.dp),_xlpm.lo,ROUND(_xlpm.ref-_xlpm.D,_xlpm.dp),_xlpm.hi,ROUND(_xlpm.ref+_xlpm.D,_xlpm.dp),IF(_xlpm.xr&gt;=_xlpm.ref,(_xlpm.xr-_xlpm.ref)/(_xlpm.hi-_xlpm.ref),(_xlpm.xr-_xlpm.ref)/(_xlpm.ref-_xlpm.lo)))</f>
        <v>0.58333333333333226</v>
      </c>
      <c r="I31" s="236">
        <f>_xlfn.LET(_xlpm.x,'Input Group 2'!AE12,_xlpm.ref,'Input Group 2'!G12,_xlpm.D,'Input Group 2'!S12,_xlpm.dp,IF('Input Group 2'!$E12="",3,'Input Group 2'!$E12),_xlpm.xr,ROUND(_xlpm.x,_xlpm.dp),_xlpm.lo,ROUND(_xlpm.ref-_xlpm.D,_xlpm.dp),_xlpm.hi,ROUND(_xlpm.ref+_xlpm.D,_xlpm.dp),IF(_xlpm.xr&gt;=_xlpm.ref,(_xlpm.xr-_xlpm.ref)/(_xlpm.hi-_xlpm.ref),(_xlpm.xr-_xlpm.ref)/(_xlpm.ref-_xlpm.lo)))</f>
        <v>0.20833333333333315</v>
      </c>
      <c r="J31" s="200">
        <f>_xlfn.LET(_xlpm.x,'Input Group 2'!AI12,_xlpm.ref,'Input Group 2'!G12,_xlpm.D,'Input Group 2'!S12,_xlpm.dp,IF('Input Group 2'!$E12="",3,'Input Group 2'!$E12),_xlpm.xr,ROUND(_xlpm.x,_xlpm.dp),_xlpm.lo,ROUND(_xlpm.ref-_xlpm.D,_xlpm.dp),_xlpm.hi,ROUND(_xlpm.ref+_xlpm.D,_xlpm.dp),IF(_xlpm.xr&gt;=_xlpm.ref,(_xlpm.xr-_xlpm.ref)/(_xlpm.hi-_xlpm.ref),(_xlpm.xr-_xlpm.ref)/(_xlpm.ref-_xlpm.lo)))</f>
        <v>4.1666666666665741E-2</v>
      </c>
      <c r="K31" s="237">
        <f>_xlfn.LET(_xlpm.x,'Input Group 2'!AM12,_xlpm.ref,'Input Group 2'!G12,_xlpm.D,'Input Group 2'!S12,_xlpm.dp,IF('Input Group 2'!$E12="",3,'Input Group 2'!$E12),_xlpm.xr,ROUND(_xlpm.x,_xlpm.dp),_xlpm.lo,ROUND(_xlpm.ref-_xlpm.D,_xlpm.dp),_xlpm.hi,ROUND(_xlpm.ref+_xlpm.D,_xlpm.dp),IF(_xlpm.xr&gt;=_xlpm.ref,(_xlpm.xr-_xlpm.ref)/(_xlpm.hi-_xlpm.ref),(_xlpm.xr-_xlpm.ref)/(_xlpm.ref-_xlpm.lo)))</f>
        <v>8.3333333333332968E-2</v>
      </c>
    </row>
    <row r="32" spans="2:11" ht="15" customHeight="1" x14ac:dyDescent="0.3">
      <c r="B32" s="553"/>
      <c r="C32" s="238" t="str">
        <f>TRIM('Input Group 2'!B13)</f>
        <v>Testcase1</v>
      </c>
      <c r="D32" s="134" t="str">
        <f>'Input Group 2'!C13</f>
        <v>n/a</v>
      </c>
      <c r="E32" s="135">
        <f>'Input Group 2'!D13</f>
        <v>1000</v>
      </c>
      <c r="F32" s="136" t="s">
        <v>0</v>
      </c>
      <c r="G32" s="239">
        <f>_xlfn.LET(_xlpm.x,'Input Group 2'!V13,_xlpm.ref,'Input Group 2'!F13,_xlpm.D,'Input Group 2'!O13,_xlpm.dp,IF('Input Group 2'!$E13="",3,'Input Group 2'!$E13),_xlpm.xr,ROUND(_xlpm.x,_xlpm.dp),_xlpm.lo,ROUND(_xlpm.ref-_xlpm.D,_xlpm.dp),_xlpm.hi,ROUND(_xlpm.ref+_xlpm.D,_xlpm.dp),IF(_xlpm.xr&gt;=_xlpm.ref,(_xlpm.xr-_xlpm.ref)/(_xlpm.hi-_xlpm.ref),(_xlpm.xr-_xlpm.ref)/(_xlpm.ref-_xlpm.lo)))</f>
        <v>1.1000000000000014</v>
      </c>
      <c r="H32" s="240">
        <f>_xlfn.LET(_xlpm.x,'Input Group 2'!Z13,_xlpm.ref,'Input Group 2'!F13,_xlpm.D,'Input Group 2'!O13,_xlpm.dp,IF('Input Group 2'!$E13="",3,'Input Group 2'!$E13),_xlpm.xr,ROUND(_xlpm.x,_xlpm.dp),_xlpm.lo,ROUND(_xlpm.ref-_xlpm.D,_xlpm.dp),_xlpm.hi,ROUND(_xlpm.ref+_xlpm.D,_xlpm.dp),IF(_xlpm.xr&gt;=_xlpm.ref,(_xlpm.xr-_xlpm.ref)/(_xlpm.hi-_xlpm.ref),(_xlpm.xr-_xlpm.ref)/(_xlpm.ref-_xlpm.lo)))</f>
        <v>1.3000000000000007</v>
      </c>
      <c r="I32" s="241">
        <f>_xlfn.LET(_xlpm.x,'Input Group 2'!AD13,_xlpm.ref,'Input Group 2'!F13,_xlpm.D,'Input Group 2'!O13,_xlpm.dp,IF('Input Group 2'!$E13="",3,'Input Group 2'!$E13),_xlpm.xr,ROUND(_xlpm.x,_xlpm.dp),_xlpm.lo,ROUND(_xlpm.ref-_xlpm.D,_xlpm.dp),_xlpm.hi,ROUND(_xlpm.ref+_xlpm.D,_xlpm.dp),IF(_xlpm.xr&gt;=_xlpm.ref,(_xlpm.xr-_xlpm.ref)/(_xlpm.hi-_xlpm.ref),(_xlpm.xr-_xlpm.ref)/(_xlpm.ref-_xlpm.lo)))</f>
        <v>0.30000000000000071</v>
      </c>
      <c r="J32" s="242">
        <f>_xlfn.LET(_xlpm.x,'Input Group 2'!AH13,_xlpm.ref,'Input Group 2'!F13,_xlpm.D,'Input Group 2'!O13,_xlpm.dp,IF('Input Group 2'!$E13="",3,'Input Group 2'!$E13),_xlpm.xr,ROUND(_xlpm.x,_xlpm.dp),_xlpm.lo,ROUND(_xlpm.ref-_xlpm.D,_xlpm.dp),_xlpm.hi,ROUND(_xlpm.ref+_xlpm.D,_xlpm.dp),IF(_xlpm.xr&gt;=_xlpm.ref,(_xlpm.xr-_xlpm.ref)/(_xlpm.hi-_xlpm.ref),(_xlpm.xr-_xlpm.ref)/(_xlpm.ref-_xlpm.lo)))</f>
        <v>1.9000000000000004</v>
      </c>
      <c r="K32" s="243">
        <f>_xlfn.LET(_xlpm.x,'Input Group 2'!AL13,_xlpm.ref,'Input Group 2'!F13,_xlpm.D,'Input Group 2'!O13,_xlpm.dp,IF('Input Group 2'!$E13="",3,'Input Group 2'!$E13),_xlpm.xr,ROUND(_xlpm.x,_xlpm.dp),_xlpm.lo,ROUND(_xlpm.ref-_xlpm.D,_xlpm.dp),_xlpm.hi,ROUND(_xlpm.ref+_xlpm.D,_xlpm.dp),IF(_xlpm.xr&gt;=_xlpm.ref,(_xlpm.xr-_xlpm.ref)/(_xlpm.hi-_xlpm.ref),(_xlpm.xr-_xlpm.ref)/(_xlpm.ref-_xlpm.lo)))</f>
        <v>0.60000000000000142</v>
      </c>
    </row>
    <row r="33" spans="2:12" ht="15" customHeight="1" x14ac:dyDescent="0.3">
      <c r="B33" s="553"/>
      <c r="C33" s="238" t="str">
        <f>TRIM('Input Group 2'!B13)</f>
        <v>Testcase1</v>
      </c>
      <c r="D33" s="134" t="str">
        <f>'Input Group 2'!C13</f>
        <v>n/a</v>
      </c>
      <c r="E33" s="135">
        <f>'Input Group 2'!D13</f>
        <v>1000</v>
      </c>
      <c r="F33" s="136" t="s">
        <v>1</v>
      </c>
      <c r="G33" s="244">
        <f>_xlfn.LET(_xlpm.x,'Input Group 2'!W13,_xlpm.ref,'Input Group 2'!G13,_xlpm.D,'Input Group 2'!S13,_xlpm.dp,IF('Input Group 2'!$E13="",3,'Input Group 2'!$E13),_xlpm.xr,ROUND(_xlpm.x,_xlpm.dp),_xlpm.lo,ROUND(_xlpm.ref-_xlpm.D,_xlpm.dp),_xlpm.hi,ROUND(_xlpm.ref+_xlpm.D,_xlpm.dp),IF(_xlpm.xr&gt;=_xlpm.ref,(_xlpm.xr-_xlpm.ref)/(_xlpm.hi-_xlpm.ref),(_xlpm.xr-_xlpm.ref)/(_xlpm.ref-_xlpm.lo)))</f>
        <v>0.33333333333333331</v>
      </c>
      <c r="H33" s="245">
        <f>_xlfn.LET(_xlpm.x,'Input Group 2'!AA13,_xlpm.ref,'Input Group 2'!G13,_xlpm.D,'Input Group 2'!S13,_xlpm.dp,IF('Input Group 2'!$E13="",3,'Input Group 2'!$E13),_xlpm.xr,ROUND(_xlpm.x,_xlpm.dp),_xlpm.lo,ROUND(_xlpm.ref-_xlpm.D,_xlpm.dp),_xlpm.hi,ROUND(_xlpm.ref+_xlpm.D,_xlpm.dp),IF(_xlpm.xr&gt;=_xlpm.ref,(_xlpm.xr-_xlpm.ref)/(_xlpm.hi-_xlpm.ref),(_xlpm.xr-_xlpm.ref)/(_xlpm.ref-_xlpm.lo)))</f>
        <v>0.45833333333333204</v>
      </c>
      <c r="I33" s="200">
        <f>_xlfn.LET(_xlpm.x,'Input Group 2'!AE13,_xlpm.ref,'Input Group 2'!G13,_xlpm.D,'Input Group 2'!S13,_xlpm.dp,IF('Input Group 2'!$E13="",3,'Input Group 2'!$E13),_xlpm.xr,ROUND(_xlpm.x,_xlpm.dp),_xlpm.lo,ROUND(_xlpm.ref-_xlpm.D,_xlpm.dp),_xlpm.hi,ROUND(_xlpm.ref+_xlpm.D,_xlpm.dp),IF(_xlpm.xr&gt;=_xlpm.ref,(_xlpm.xr-_xlpm.ref)/(_xlpm.hi-_xlpm.ref),(_xlpm.xr-_xlpm.ref)/(_xlpm.ref-_xlpm.lo)))</f>
        <v>-4.1666666666667219E-2</v>
      </c>
      <c r="J33" s="183">
        <f>_xlfn.LET(_xlpm.x,'Input Group 2'!AI13,_xlpm.ref,'Input Group 2'!G13,_xlpm.D,'Input Group 2'!S13,_xlpm.dp,IF('Input Group 2'!$E13="",3,'Input Group 2'!$E13),_xlpm.xr,ROUND(_xlpm.x,_xlpm.dp),_xlpm.lo,ROUND(_xlpm.ref-_xlpm.D,_xlpm.dp),_xlpm.hi,ROUND(_xlpm.ref+_xlpm.D,_xlpm.dp),IF(_xlpm.xr&gt;=_xlpm.ref,(_xlpm.xr-_xlpm.ref)/(_xlpm.hi-_xlpm.ref),(_xlpm.xr-_xlpm.ref)/(_xlpm.ref-_xlpm.lo)))</f>
        <v>2.9166666666666625</v>
      </c>
      <c r="K33" s="246">
        <f>_xlfn.LET(_xlpm.x,'Input Group 2'!AM13,_xlpm.ref,'Input Group 2'!G13,_xlpm.D,'Input Group 2'!S13,_xlpm.dp,IF('Input Group 2'!$E13="",3,'Input Group 2'!$E13),_xlpm.xr,ROUND(_xlpm.x,_xlpm.dp),_xlpm.lo,ROUND(_xlpm.ref-_xlpm.D,_xlpm.dp),_xlpm.hi,ROUND(_xlpm.ref+_xlpm.D,_xlpm.dp),IF(_xlpm.xr&gt;=_xlpm.ref,(_xlpm.xr-_xlpm.ref)/(_xlpm.hi-_xlpm.ref),(_xlpm.xr-_xlpm.ref)/(_xlpm.ref-_xlpm.lo)))</f>
        <v>-0.25000000000000039</v>
      </c>
    </row>
    <row r="34" spans="2:12" ht="15" customHeight="1" x14ac:dyDescent="0.3">
      <c r="B34" s="553"/>
      <c r="C34" s="247" t="str">
        <f>TRIM('Input Group 2'!B14)</f>
        <v>Testcase1</v>
      </c>
      <c r="D34" s="119" t="str">
        <f>'Input Group 2'!C14</f>
        <v>n/a</v>
      </c>
      <c r="E34" s="120">
        <f>'Input Group 2'!D14</f>
        <v>2000</v>
      </c>
      <c r="F34" s="121" t="s">
        <v>0</v>
      </c>
      <c r="G34" s="152">
        <f>_xlfn.LET(_xlpm.x,'Input Group 2'!V14,_xlpm.ref,'Input Group 2'!F14,_xlpm.D,'Input Group 2'!O14,_xlpm.dp,IF('Input Group 2'!$E14="",3,'Input Group 2'!$E14),_xlpm.xr,ROUND(_xlpm.x,_xlpm.dp),_xlpm.lo,ROUND(_xlpm.ref-_xlpm.D,_xlpm.dp),_xlpm.hi,ROUND(_xlpm.ref+_xlpm.D,_xlpm.dp),IF(_xlpm.xr&gt;=_xlpm.ref,(_xlpm.xr-_xlpm.ref)/(_xlpm.hi-_xlpm.ref),(_xlpm.xr-_xlpm.ref)/(_xlpm.ref-_xlpm.lo)))</f>
        <v>0.10000000000000142</v>
      </c>
      <c r="H34" s="248">
        <f>_xlfn.LET(_xlpm.x,'Input Group 2'!Z14,_xlpm.ref,'Input Group 2'!F14,_xlpm.D,'Input Group 2'!O14,_xlpm.dp,IF('Input Group 2'!$E14="",3,'Input Group 2'!$E14),_xlpm.xr,ROUND(_xlpm.x,_xlpm.dp),_xlpm.lo,ROUND(_xlpm.ref-_xlpm.D,_xlpm.dp),_xlpm.hi,ROUND(_xlpm.ref+_xlpm.D,_xlpm.dp),IF(_xlpm.xr&gt;=_xlpm.ref,(_xlpm.xr-_xlpm.ref)/(_xlpm.hi-_xlpm.ref),(_xlpm.xr-_xlpm.ref)/(_xlpm.ref-_xlpm.lo)))</f>
        <v>0.90000000000000036</v>
      </c>
      <c r="I34" s="214">
        <f>_xlfn.LET(_xlpm.x,'Input Group 2'!AD14,_xlpm.ref,'Input Group 2'!F14,_xlpm.D,'Input Group 2'!O14,_xlpm.dp,IF('Input Group 2'!$E14="",3,'Input Group 2'!$E14),_xlpm.xr,ROUND(_xlpm.x,_xlpm.dp),_xlpm.lo,ROUND(_xlpm.ref-_xlpm.D,_xlpm.dp),_xlpm.hi,ROUND(_xlpm.ref+_xlpm.D,_xlpm.dp),IF(_xlpm.xr&gt;=_xlpm.ref,(_xlpm.xr-_xlpm.ref)/(_xlpm.hi-_xlpm.ref),(_xlpm.xr-_xlpm.ref)/(_xlpm.ref-_xlpm.lo)))</f>
        <v>0.40000000000000036</v>
      </c>
      <c r="J34" s="242">
        <f>_xlfn.LET(_xlpm.x,'Input Group 2'!AH14,_xlpm.ref,'Input Group 2'!F14,_xlpm.D,'Input Group 2'!O14,_xlpm.dp,IF('Input Group 2'!$E14="",3,'Input Group 2'!$E14),_xlpm.xr,ROUND(_xlpm.x,_xlpm.dp),_xlpm.lo,ROUND(_xlpm.ref-_xlpm.D,_xlpm.dp),_xlpm.hi,ROUND(_xlpm.ref+_xlpm.D,_xlpm.dp),IF(_xlpm.xr&gt;=_xlpm.ref,(_xlpm.xr-_xlpm.ref)/(_xlpm.hi-_xlpm.ref),(_xlpm.xr-_xlpm.ref)/(_xlpm.ref-_xlpm.lo)))</f>
        <v>2.3000000000000007</v>
      </c>
      <c r="K34" s="243">
        <f>_xlfn.LET(_xlpm.x,'Input Group 2'!AL14,_xlpm.ref,'Input Group 2'!F14,_xlpm.D,'Input Group 2'!O14,_xlpm.dp,IF('Input Group 2'!$E14="",3,'Input Group 2'!$E14),_xlpm.xr,ROUND(_xlpm.x,_xlpm.dp),_xlpm.lo,ROUND(_xlpm.ref-_xlpm.D,_xlpm.dp),_xlpm.hi,ROUND(_xlpm.ref+_xlpm.D,_xlpm.dp),IF(_xlpm.xr&gt;=_xlpm.ref,(_xlpm.xr-_xlpm.ref)/(_xlpm.hi-_xlpm.ref),(_xlpm.xr-_xlpm.ref)/(_xlpm.ref-_xlpm.lo)))</f>
        <v>0.60000000000000142</v>
      </c>
    </row>
    <row r="35" spans="2:12" ht="15" customHeight="1" x14ac:dyDescent="0.3">
      <c r="B35" s="553"/>
      <c r="C35" s="247" t="str">
        <f>TRIM('Input Group 2'!B14)</f>
        <v>Testcase1</v>
      </c>
      <c r="D35" s="119" t="str">
        <f>'Input Group 2'!C14</f>
        <v>n/a</v>
      </c>
      <c r="E35" s="120">
        <f>'Input Group 2'!D14</f>
        <v>2000</v>
      </c>
      <c r="F35" s="121" t="s">
        <v>1</v>
      </c>
      <c r="G35" s="137">
        <f>_xlfn.LET(_xlpm.x,'Input Group 2'!W14,_xlpm.ref,'Input Group 2'!G14,_xlpm.D,'Input Group 2'!S14,_xlpm.dp,IF('Input Group 2'!$E14="",3,'Input Group 2'!$E14),_xlpm.xr,ROUND(_xlpm.x,_xlpm.dp),_xlpm.lo,ROUND(_xlpm.ref-_xlpm.D,_xlpm.dp),_xlpm.hi,ROUND(_xlpm.ref+_xlpm.D,_xlpm.dp),IF(_xlpm.xr&gt;=_xlpm.ref,(_xlpm.xr-_xlpm.ref)/(_xlpm.hi-_xlpm.ref),(_xlpm.xr-_xlpm.ref)/(_xlpm.ref-_xlpm.lo)))</f>
        <v>0</v>
      </c>
      <c r="H35" s="183">
        <f>_xlfn.LET(_xlpm.x,'Input Group 2'!AA14,_xlpm.ref,'Input Group 2'!G14,_xlpm.D,'Input Group 2'!S14,_xlpm.dp,IF('Input Group 2'!$E14="",3,'Input Group 2'!$E14),_xlpm.xr,ROUND(_xlpm.x,_xlpm.dp),_xlpm.lo,ROUND(_xlpm.ref-_xlpm.D,_xlpm.dp),_xlpm.hi,ROUND(_xlpm.ref+_xlpm.D,_xlpm.dp),IF(_xlpm.xr&gt;=_xlpm.ref,(_xlpm.xr-_xlpm.ref)/(_xlpm.hi-_xlpm.ref),(_xlpm.xr-_xlpm.ref)/(_xlpm.ref-_xlpm.lo)))</f>
        <v>0.16666666666666594</v>
      </c>
      <c r="I35" s="200">
        <f>_xlfn.LET(_xlpm.x,'Input Group 2'!AE14,_xlpm.ref,'Input Group 2'!G14,_xlpm.D,'Input Group 2'!S14,_xlpm.dp,IF('Input Group 2'!$E14="",3,'Input Group 2'!$E14),_xlpm.xr,ROUND(_xlpm.x,_xlpm.dp),_xlpm.lo,ROUND(_xlpm.ref-_xlpm.D,_xlpm.dp),_xlpm.hi,ROUND(_xlpm.ref+_xlpm.D,_xlpm.dp),IF(_xlpm.xr&gt;=_xlpm.ref,(_xlpm.xr-_xlpm.ref)/(_xlpm.hi-_xlpm.ref),(_xlpm.xr-_xlpm.ref)/(_xlpm.ref-_xlpm.lo)))</f>
        <v>-4.1666666666667219E-2</v>
      </c>
      <c r="J35" s="183">
        <f>_xlfn.LET(_xlpm.x,'Input Group 2'!AI14,_xlpm.ref,'Input Group 2'!G14,_xlpm.D,'Input Group 2'!S14,_xlpm.dp,IF('Input Group 2'!$E14="",3,'Input Group 2'!$E14),_xlpm.xr,ROUND(_xlpm.x,_xlpm.dp),_xlpm.lo,ROUND(_xlpm.ref-_xlpm.D,_xlpm.dp),_xlpm.hi,ROUND(_xlpm.ref+_xlpm.D,_xlpm.dp),IF(_xlpm.xr&gt;=_xlpm.ref,(_xlpm.xr-_xlpm.ref)/(_xlpm.hi-_xlpm.ref),(_xlpm.xr-_xlpm.ref)/(_xlpm.ref-_xlpm.lo)))</f>
        <v>2.0416666666666656</v>
      </c>
      <c r="K35" s="249">
        <f>_xlfn.LET(_xlpm.x,'Input Group 2'!AM14,_xlpm.ref,'Input Group 2'!G14,_xlpm.D,'Input Group 2'!S14,_xlpm.dp,IF('Input Group 2'!$E14="",3,'Input Group 2'!$E14),_xlpm.xr,ROUND(_xlpm.x,_xlpm.dp),_xlpm.lo,ROUND(_xlpm.ref-_xlpm.D,_xlpm.dp),_xlpm.hi,ROUND(_xlpm.ref+_xlpm.D,_xlpm.dp),IF(_xlpm.xr&gt;=_xlpm.ref,(_xlpm.xr-_xlpm.ref)/(_xlpm.hi-_xlpm.ref),(_xlpm.xr-_xlpm.ref)/(_xlpm.ref-_xlpm.lo)))</f>
        <v>-0.49999999999999928</v>
      </c>
    </row>
    <row r="36" spans="2:12" ht="15" customHeight="1" x14ac:dyDescent="0.3">
      <c r="B36" s="553"/>
      <c r="C36" s="238" t="str">
        <f>TRIM('Input Group 2'!B15)</f>
        <v>Testcase1</v>
      </c>
      <c r="D36" s="134" t="str">
        <f>'Input Group 2'!C15</f>
        <v>n/a</v>
      </c>
      <c r="E36" s="135">
        <f>'Input Group 2'!D15</f>
        <v>5000</v>
      </c>
      <c r="F36" s="136" t="s">
        <v>0</v>
      </c>
      <c r="G36" s="250">
        <f>_xlfn.LET(_xlpm.x,'Input Group 2'!V15,_xlpm.ref,'Input Group 2'!F15,_xlpm.D,'Input Group 2'!O15,_xlpm.dp,IF('Input Group 2'!$E15="",3,'Input Group 2'!$E15),_xlpm.xr,ROUND(_xlpm.x,_xlpm.dp),_xlpm.lo,ROUND(_xlpm.ref-_xlpm.D,_xlpm.dp),_xlpm.hi,ROUND(_xlpm.ref+_xlpm.D,_xlpm.dp),IF(_xlpm.xr&gt;=_xlpm.ref,(_xlpm.xr-_xlpm.ref)/(_xlpm.hi-_xlpm.ref),(_xlpm.xr-_xlpm.ref)/(_xlpm.ref-_xlpm.lo)))</f>
        <v>0.70000000000000107</v>
      </c>
      <c r="H36" s="137">
        <f>_xlfn.LET(_xlpm.x,'Input Group 2'!Z15,_xlpm.ref,'Input Group 2'!F15,_xlpm.D,'Input Group 2'!O15,_xlpm.dp,IF('Input Group 2'!$E15="",3,'Input Group 2'!$E15),_xlpm.xr,ROUND(_xlpm.x,_xlpm.dp),_xlpm.lo,ROUND(_xlpm.ref-_xlpm.D,_xlpm.dp),_xlpm.hi,ROUND(_xlpm.ref+_xlpm.D,_xlpm.dp),IF(_xlpm.xr&gt;=_xlpm.ref,(_xlpm.xr-_xlpm.ref)/(_xlpm.hi-_xlpm.ref),(_xlpm.xr-_xlpm.ref)/(_xlpm.ref-_xlpm.lo)))</f>
        <v>0</v>
      </c>
      <c r="I36" s="251">
        <f>_xlfn.LET(_xlpm.x,'Input Group 2'!AD15,_xlpm.ref,'Input Group 2'!F15,_xlpm.D,'Input Group 2'!O15,_xlpm.dp,IF('Input Group 2'!$E15="",3,'Input Group 2'!$E15),_xlpm.xr,ROUND(_xlpm.x,_xlpm.dp),_xlpm.lo,ROUND(_xlpm.ref-_xlpm.D,_xlpm.dp),_xlpm.hi,ROUND(_xlpm.ref+_xlpm.D,_xlpm.dp),IF(_xlpm.xr&gt;=_xlpm.ref,(_xlpm.xr-_xlpm.ref)/(_xlpm.hi-_xlpm.ref),(_xlpm.xr-_xlpm.ref)/(_xlpm.ref-_xlpm.lo)))</f>
        <v>0.20000000000000107</v>
      </c>
      <c r="J36" s="152">
        <f>_xlfn.LET(_xlpm.x,'Input Group 2'!AH15,_xlpm.ref,'Input Group 2'!F15,_xlpm.D,'Input Group 2'!O15,_xlpm.dp,IF('Input Group 2'!$E15="",3,'Input Group 2'!$E15),_xlpm.xr,ROUND(_xlpm.x,_xlpm.dp),_xlpm.lo,ROUND(_xlpm.ref-_xlpm.D,_xlpm.dp),_xlpm.hi,ROUND(_xlpm.ref+_xlpm.D,_xlpm.dp),IF(_xlpm.xr&gt;=_xlpm.ref,(_xlpm.xr-_xlpm.ref)/(_xlpm.hi-_xlpm.ref),(_xlpm.xr-_xlpm.ref)/(_xlpm.ref-_xlpm.lo)))</f>
        <v>1.7000000000000011</v>
      </c>
      <c r="K36" s="252">
        <f>_xlfn.LET(_xlpm.x,'Input Group 2'!AL15,_xlpm.ref,'Input Group 2'!F15,_xlpm.D,'Input Group 2'!O15,_xlpm.dp,IF('Input Group 2'!$E15="",3,'Input Group 2'!$E15),_xlpm.xr,ROUND(_xlpm.x,_xlpm.dp),_xlpm.lo,ROUND(_xlpm.ref-_xlpm.D,_xlpm.dp),_xlpm.hi,ROUND(_xlpm.ref+_xlpm.D,_xlpm.dp),IF(_xlpm.xr&gt;=_xlpm.ref,(_xlpm.xr-_xlpm.ref)/(_xlpm.hi-_xlpm.ref),(_xlpm.xr-_xlpm.ref)/(_xlpm.ref-_xlpm.lo)))</f>
        <v>0.10000000000000142</v>
      </c>
    </row>
    <row r="37" spans="2:12" ht="15" customHeight="1" x14ac:dyDescent="0.3">
      <c r="B37" s="553"/>
      <c r="C37" s="238" t="str">
        <f>TRIM('Input Group 2'!B15)</f>
        <v>Testcase1</v>
      </c>
      <c r="D37" s="134" t="str">
        <f>'Input Group 2'!C15</f>
        <v>n/a</v>
      </c>
      <c r="E37" s="135">
        <f>'Input Group 2'!D15</f>
        <v>5000</v>
      </c>
      <c r="F37" s="136" t="s">
        <v>1</v>
      </c>
      <c r="G37" s="244">
        <f>_xlfn.LET(_xlpm.x,'Input Group 2'!W15,_xlpm.ref,'Input Group 2'!G15,_xlpm.D,'Input Group 2'!S15,_xlpm.dp,IF('Input Group 2'!$E15="",3,'Input Group 2'!$E15),_xlpm.xr,ROUND(_xlpm.x,_xlpm.dp),_xlpm.lo,ROUND(_xlpm.ref-_xlpm.D,_xlpm.dp),_xlpm.hi,ROUND(_xlpm.ref+_xlpm.D,_xlpm.dp),IF(_xlpm.xr&gt;=_xlpm.ref,(_xlpm.xr-_xlpm.ref)/(_xlpm.hi-_xlpm.ref),(_xlpm.xr-_xlpm.ref)/(_xlpm.ref-_xlpm.lo)))</f>
        <v>0.33333333333333331</v>
      </c>
      <c r="H37" s="200">
        <f>_xlfn.LET(_xlpm.x,'Input Group 2'!AA15,_xlpm.ref,'Input Group 2'!G15,_xlpm.D,'Input Group 2'!S15,_xlpm.dp,IF('Input Group 2'!$E15="",3,'Input Group 2'!$E15),_xlpm.xr,ROUND(_xlpm.x,_xlpm.dp),_xlpm.lo,ROUND(_xlpm.ref-_xlpm.D,_xlpm.dp),_xlpm.hi,ROUND(_xlpm.ref+_xlpm.D,_xlpm.dp),IF(_xlpm.xr&gt;=_xlpm.ref,(_xlpm.xr-_xlpm.ref)/(_xlpm.hi-_xlpm.ref),(_xlpm.xr-_xlpm.ref)/(_xlpm.ref-_xlpm.lo)))</f>
        <v>-4.1666666666667219E-2</v>
      </c>
      <c r="I37" s="137">
        <f>_xlfn.LET(_xlpm.x,'Input Group 2'!AE15,_xlpm.ref,'Input Group 2'!G15,_xlpm.D,'Input Group 2'!S15,_xlpm.dp,IF('Input Group 2'!$E15="",3,'Input Group 2'!$E15),_xlpm.xr,ROUND(_xlpm.x,_xlpm.dp),_xlpm.lo,ROUND(_xlpm.ref-_xlpm.D,_xlpm.dp),_xlpm.hi,ROUND(_xlpm.ref+_xlpm.D,_xlpm.dp),IF(_xlpm.xr&gt;=_xlpm.ref,(_xlpm.xr-_xlpm.ref)/(_xlpm.hi-_xlpm.ref),(_xlpm.xr-_xlpm.ref)/(_xlpm.ref-_xlpm.lo)))</f>
        <v>0</v>
      </c>
      <c r="J37" s="137">
        <f>_xlfn.LET(_xlpm.x,'Input Group 2'!AI15,_xlpm.ref,'Input Group 2'!G15,_xlpm.D,'Input Group 2'!S15,_xlpm.dp,IF('Input Group 2'!$E15="",3,'Input Group 2'!$E15),_xlpm.xr,ROUND(_xlpm.x,_xlpm.dp),_xlpm.lo,ROUND(_xlpm.ref-_xlpm.D,_xlpm.dp),_xlpm.hi,ROUND(_xlpm.ref+_xlpm.D,_xlpm.dp),IF(_xlpm.xr&gt;=_xlpm.ref,(_xlpm.xr-_xlpm.ref)/(_xlpm.hi-_xlpm.ref),(_xlpm.xr-_xlpm.ref)/(_xlpm.ref-_xlpm.lo)))</f>
        <v>3.4999999999999978</v>
      </c>
      <c r="K37" s="237">
        <f>_xlfn.LET(_xlpm.x,'Input Group 2'!AM15,_xlpm.ref,'Input Group 2'!G15,_xlpm.D,'Input Group 2'!S15,_xlpm.dp,IF('Input Group 2'!$E15="",3,'Input Group 2'!$E15),_xlpm.xr,ROUND(_xlpm.x,_xlpm.dp),_xlpm.lo,ROUND(_xlpm.ref-_xlpm.D,_xlpm.dp),_xlpm.hi,ROUND(_xlpm.ref+_xlpm.D,_xlpm.dp),IF(_xlpm.xr&gt;=_xlpm.ref,(_xlpm.xr-_xlpm.ref)/(_xlpm.hi-_xlpm.ref),(_xlpm.xr-_xlpm.ref)/(_xlpm.ref-_xlpm.lo)))</f>
        <v>-8.3333333333332968E-2</v>
      </c>
    </row>
    <row r="38" spans="2:12" ht="15" customHeight="1" x14ac:dyDescent="0.3">
      <c r="B38" s="553"/>
      <c r="C38" s="247" t="str">
        <f>TRIM('Input Group 2'!B16)</f>
        <v>Testcase1</v>
      </c>
      <c r="D38" s="119" t="str">
        <f>'Input Group 2'!C16</f>
        <v>n/a</v>
      </c>
      <c r="E38" s="120">
        <f>'Input Group 2'!D16</f>
        <v>10000</v>
      </c>
      <c r="F38" s="121" t="s">
        <v>0</v>
      </c>
      <c r="G38" s="122">
        <f>_xlfn.LET(_xlpm.x,'Input Group 2'!V16,_xlpm.ref,'Input Group 2'!F16,_xlpm.D,'Input Group 2'!O16,_xlpm.dp,IF('Input Group 2'!$E16="",3,'Input Group 2'!$E16),_xlpm.xr,ROUND(_xlpm.x,_xlpm.dp),_xlpm.lo,ROUND(_xlpm.ref-_xlpm.D,_xlpm.dp),_xlpm.hi,ROUND(_xlpm.ref+_xlpm.D,_xlpm.dp),IF(_xlpm.xr&gt;=_xlpm.ref,(_xlpm.xr-_xlpm.ref)/(_xlpm.hi-_xlpm.ref),(_xlpm.xr-_xlpm.ref)/(_xlpm.ref-_xlpm.lo)))</f>
        <v>2.8000000000000007</v>
      </c>
      <c r="H38" s="251">
        <f>_xlfn.LET(_xlpm.x,'Input Group 2'!Z16,_xlpm.ref,'Input Group 2'!F16,_xlpm.D,'Input Group 2'!O16,_xlpm.dp,IF('Input Group 2'!$E16="",3,'Input Group 2'!$E16),_xlpm.xr,ROUND(_xlpm.x,_xlpm.dp),_xlpm.lo,ROUND(_xlpm.ref-_xlpm.D,_xlpm.dp),_xlpm.hi,ROUND(_xlpm.ref+_xlpm.D,_xlpm.dp),IF(_xlpm.xr&gt;=_xlpm.ref,(_xlpm.xr-_xlpm.ref)/(_xlpm.hi-_xlpm.ref),(_xlpm.xr-_xlpm.ref)/(_xlpm.ref-_xlpm.lo)))</f>
        <v>0.10000000000000142</v>
      </c>
      <c r="I38" s="152">
        <f>_xlfn.LET(_xlpm.x,'Input Group 2'!AD16,_xlpm.ref,'Input Group 2'!F16,_xlpm.D,'Input Group 2'!O16,_xlpm.dp,IF('Input Group 2'!$E16="",3,'Input Group 2'!$E16),_xlpm.xr,ROUND(_xlpm.x,_xlpm.dp),_xlpm.lo,ROUND(_xlpm.ref-_xlpm.D,_xlpm.dp),_xlpm.hi,ROUND(_xlpm.ref+_xlpm.D,_xlpm.dp),IF(_xlpm.xr&gt;=_xlpm.ref,(_xlpm.xr-_xlpm.ref)/(_xlpm.hi-_xlpm.ref),(_xlpm.xr-_xlpm.ref)/(_xlpm.ref-_xlpm.lo)))</f>
        <v>0.10000000000000142</v>
      </c>
      <c r="J38" s="251">
        <f>_xlfn.LET(_xlpm.x,'Input Group 2'!AH16,_xlpm.ref,'Input Group 2'!F16,_xlpm.D,'Input Group 2'!O16,_xlpm.dp,IF('Input Group 2'!$E16="",3,'Input Group 2'!$E16),_xlpm.xr,ROUND(_xlpm.x,_xlpm.dp),_xlpm.lo,ROUND(_xlpm.ref-_xlpm.D,_xlpm.dp),_xlpm.hi,ROUND(_xlpm.ref+_xlpm.D,_xlpm.dp),IF(_xlpm.xr&gt;=_xlpm.ref,(_xlpm.xr-_xlpm.ref)/(_xlpm.hi-_xlpm.ref),(_xlpm.xr-_xlpm.ref)/(_xlpm.ref-_xlpm.lo)))</f>
        <v>1.8000000000000007</v>
      </c>
      <c r="K38" s="253">
        <f>_xlfn.LET(_xlpm.x,'Input Group 2'!AL16,_xlpm.ref,'Input Group 2'!F16,_xlpm.D,'Input Group 2'!O16,_xlpm.dp,IF('Input Group 2'!$E16="",3,'Input Group 2'!$E16),_xlpm.xr,ROUND(_xlpm.x,_xlpm.dp),_xlpm.lo,ROUND(_xlpm.ref-_xlpm.D,_xlpm.dp),_xlpm.hi,ROUND(_xlpm.ref+_xlpm.D,_xlpm.dp),IF(_xlpm.xr&gt;=_xlpm.ref,(_xlpm.xr-_xlpm.ref)/(_xlpm.hi-_xlpm.ref),(_xlpm.xr-_xlpm.ref)/(_xlpm.ref-_xlpm.lo)))</f>
        <v>0.20000000000000107</v>
      </c>
    </row>
    <row r="39" spans="2:12" ht="15" customHeight="1" x14ac:dyDescent="0.3">
      <c r="B39" s="553"/>
      <c r="C39" s="247" t="str">
        <f>TRIM('Input Group 2'!B16)</f>
        <v>Testcase1</v>
      </c>
      <c r="D39" s="119" t="str">
        <f>'Input Group 2'!C16</f>
        <v>n/a</v>
      </c>
      <c r="E39" s="120">
        <f>'Input Group 2'!D16</f>
        <v>10000</v>
      </c>
      <c r="F39" s="121" t="s">
        <v>1</v>
      </c>
      <c r="G39" s="254">
        <f>_xlfn.LET(_xlpm.x,'Input Group 2'!W16,_xlpm.ref,'Input Group 2'!G16,_xlpm.D,'Input Group 2'!S16,_xlpm.dp,IF('Input Group 2'!$E16="",3,'Input Group 2'!$E16),_xlpm.xr,ROUND(_xlpm.x,_xlpm.dp),_xlpm.lo,ROUND(_xlpm.ref-_xlpm.D,_xlpm.dp),_xlpm.hi,ROUND(_xlpm.ref+_xlpm.D,_xlpm.dp),IF(_xlpm.xr&gt;=_xlpm.ref,(_xlpm.xr-_xlpm.ref)/(_xlpm.hi-_xlpm.ref),(_xlpm.xr-_xlpm.ref)/(_xlpm.ref-_xlpm.lo)))</f>
        <v>0.74999999999999967</v>
      </c>
      <c r="H39" s="189">
        <f>_xlfn.LET(_xlpm.x,'Input Group 2'!AA16,_xlpm.ref,'Input Group 2'!G16,_xlpm.D,'Input Group 2'!S16,_xlpm.dp,IF('Input Group 2'!$E16="",3,'Input Group 2'!$E16),_xlpm.xr,ROUND(_xlpm.x,_xlpm.dp),_xlpm.lo,ROUND(_xlpm.ref-_xlpm.D,_xlpm.dp),_xlpm.hi,ROUND(_xlpm.ref+_xlpm.D,_xlpm.dp),IF(_xlpm.xr&gt;=_xlpm.ref,(_xlpm.xr-_xlpm.ref)/(_xlpm.hi-_xlpm.ref),(_xlpm.xr-_xlpm.ref)/(_xlpm.ref-_xlpm.lo)))</f>
        <v>4.1666666666665741E-2</v>
      </c>
      <c r="I39" s="137">
        <f>_xlfn.LET(_xlpm.x,'Input Group 2'!AE16,_xlpm.ref,'Input Group 2'!G16,_xlpm.D,'Input Group 2'!S16,_xlpm.dp,IF('Input Group 2'!$E16="",3,'Input Group 2'!$E16),_xlpm.xr,ROUND(_xlpm.x,_xlpm.dp),_xlpm.lo,ROUND(_xlpm.ref-_xlpm.D,_xlpm.dp),_xlpm.hi,ROUND(_xlpm.ref+_xlpm.D,_xlpm.dp),IF(_xlpm.xr&gt;=_xlpm.ref,(_xlpm.xr-_xlpm.ref)/(_xlpm.hi-_xlpm.ref),(_xlpm.xr-_xlpm.ref)/(_xlpm.ref-_xlpm.lo)))</f>
        <v>0</v>
      </c>
      <c r="J39" s="200">
        <f>_xlfn.LET(_xlpm.x,'Input Group 2'!AI16,_xlpm.ref,'Input Group 2'!G16,_xlpm.D,'Input Group 2'!S16,_xlpm.dp,IF('Input Group 2'!$E16="",3,'Input Group 2'!$E16),_xlpm.xr,ROUND(_xlpm.x,_xlpm.dp),_xlpm.lo,ROUND(_xlpm.ref-_xlpm.D,_xlpm.dp),_xlpm.hi,ROUND(_xlpm.ref+_xlpm.D,_xlpm.dp),IF(_xlpm.xr&gt;=_xlpm.ref,(_xlpm.xr-_xlpm.ref)/(_xlpm.hi-_xlpm.ref),(_xlpm.xr-_xlpm.ref)/(_xlpm.ref-_xlpm.lo)))</f>
        <v>3.333333333333329</v>
      </c>
      <c r="K39" s="255">
        <f>_xlfn.LET(_xlpm.x,'Input Group 2'!AM16,_xlpm.ref,'Input Group 2'!G16,_xlpm.D,'Input Group 2'!S16,_xlpm.dp,IF('Input Group 2'!$E16="",3,'Input Group 2'!$E16),_xlpm.xr,ROUND(_xlpm.x,_xlpm.dp),_xlpm.lo,ROUND(_xlpm.ref-_xlpm.D,_xlpm.dp),_xlpm.hi,ROUND(_xlpm.ref+_xlpm.D,_xlpm.dp),IF(_xlpm.xr&gt;=_xlpm.ref,(_xlpm.xr-_xlpm.ref)/(_xlpm.hi-_xlpm.ref),(_xlpm.xr-_xlpm.ref)/(_xlpm.ref-_xlpm.lo)))</f>
        <v>-0.12500000000000019</v>
      </c>
    </row>
    <row r="40" spans="2:12" ht="15" customHeight="1" x14ac:dyDescent="0.3">
      <c r="B40" s="553"/>
      <c r="C40" s="238" t="str">
        <f>TRIM('Input Group 2'!B17)</f>
        <v>Testcase2</v>
      </c>
      <c r="D40" s="134" t="str">
        <f>'Input Group 2'!C17</f>
        <v>n/a</v>
      </c>
      <c r="E40" s="135">
        <f>'Input Group 2'!D17</f>
        <v>500</v>
      </c>
      <c r="F40" s="136" t="s">
        <v>0</v>
      </c>
      <c r="G40" s="122">
        <f>_xlfn.LET(_xlpm.x,'Input Group 2'!V17,_xlpm.ref,'Input Group 2'!F17,_xlpm.D,'Input Group 2'!O17,_xlpm.dp,IF('Input Group 2'!$E17="",3,'Input Group 2'!$E17),_xlpm.xr,ROUND(_xlpm.x,_xlpm.dp),_xlpm.lo,ROUND(_xlpm.ref-_xlpm.D,_xlpm.dp),_xlpm.hi,ROUND(_xlpm.ref+_xlpm.D,_xlpm.dp),IF(_xlpm.xr&gt;=_xlpm.ref,(_xlpm.xr-_xlpm.ref)/(_xlpm.hi-_xlpm.ref),(_xlpm.xr-_xlpm.ref)/(_xlpm.ref-_xlpm.lo)))</f>
        <v>-2.3392857142857157</v>
      </c>
      <c r="H40" s="122">
        <f>_xlfn.LET(_xlpm.x,'Input Group 2'!Z17,_xlpm.ref,'Input Group 2'!F17,_xlpm.D,'Input Group 2'!O17,_xlpm.dp,IF('Input Group 2'!$E17="",3,'Input Group 2'!$E17),_xlpm.xr,ROUND(_xlpm.x,_xlpm.dp),_xlpm.lo,ROUND(_xlpm.ref-_xlpm.D,_xlpm.dp),_xlpm.hi,ROUND(_xlpm.ref+_xlpm.D,_xlpm.dp),IF(_xlpm.xr&gt;=_xlpm.ref,(_xlpm.xr-_xlpm.ref)/(_xlpm.hi-_xlpm.ref),(_xlpm.xr-_xlpm.ref)/(_xlpm.ref-_xlpm.lo)))</f>
        <v>-3.5357142857142887</v>
      </c>
      <c r="I40" s="256">
        <f>_xlfn.LET(_xlpm.x,'Input Group 2'!AD17,_xlpm.ref,'Input Group 2'!F17,_xlpm.D,'Input Group 2'!O17,_xlpm.dp,IF('Input Group 2'!$E17="",3,'Input Group 2'!$E17),_xlpm.xr,ROUND(_xlpm.x,_xlpm.dp),_xlpm.lo,ROUND(_xlpm.ref-_xlpm.D,_xlpm.dp),_xlpm.hi,ROUND(_xlpm.ref+_xlpm.D,_xlpm.dp),IF(_xlpm.xr&gt;=_xlpm.ref,(_xlpm.xr-_xlpm.ref)/(_xlpm.hi-_xlpm.ref),(_xlpm.xr-_xlpm.ref)/(_xlpm.ref-_xlpm.lo)))</f>
        <v>-1.3750000000000007</v>
      </c>
      <c r="J40" s="257">
        <f>_xlfn.LET(_xlpm.x,'Input Group 2'!AH17,_xlpm.ref,'Input Group 2'!F17,_xlpm.D,'Input Group 2'!O17,_xlpm.dp,IF('Input Group 2'!$E17="",3,'Input Group 2'!$E17),_xlpm.xr,ROUND(_xlpm.x,_xlpm.dp),_xlpm.lo,ROUND(_xlpm.ref-_xlpm.D,_xlpm.dp),_xlpm.hi,ROUND(_xlpm.ref+_xlpm.D,_xlpm.dp),IF(_xlpm.xr&gt;=_xlpm.ref,(_xlpm.xr-_xlpm.ref)/(_xlpm.hi-_xlpm.ref),(_xlpm.xr-_xlpm.ref)/(_xlpm.ref-_xlpm.lo)))</f>
        <v>-1.0357142857142863</v>
      </c>
      <c r="K40" s="156">
        <f>_xlfn.LET(_xlpm.x,'Input Group 2'!AL17,_xlpm.ref,'Input Group 2'!F17,_xlpm.D,'Input Group 2'!O17,_xlpm.dp,IF('Input Group 2'!$E17="",3,'Input Group 2'!$E17),_xlpm.xr,ROUND(_xlpm.x,_xlpm.dp),_xlpm.lo,ROUND(_xlpm.ref-_xlpm.D,_xlpm.dp),_xlpm.hi,ROUND(_xlpm.ref+_xlpm.D,_xlpm.dp),IF(_xlpm.xr&gt;=_xlpm.ref,(_xlpm.xr-_xlpm.ref)/(_xlpm.hi-_xlpm.ref),(_xlpm.xr-_xlpm.ref)/(_xlpm.ref-_xlpm.lo)))</f>
        <v>-0.67857142857142871</v>
      </c>
    </row>
    <row r="41" spans="2:12" ht="15" customHeight="1" x14ac:dyDescent="0.3">
      <c r="B41" s="553"/>
      <c r="C41" s="238" t="str">
        <f>TRIM('Input Group 2'!B17)</f>
        <v>Testcase2</v>
      </c>
      <c r="D41" s="134" t="str">
        <f>'Input Group 2'!C17</f>
        <v>n/a</v>
      </c>
      <c r="E41" s="135">
        <f>'Input Group 2'!D17</f>
        <v>500</v>
      </c>
      <c r="F41" s="136" t="s">
        <v>1</v>
      </c>
      <c r="G41" s="258">
        <f>_xlfn.LET(_xlpm.x,'Input Group 2'!W17,_xlpm.ref,'Input Group 2'!G17,_xlpm.D,'Input Group 2'!S17,_xlpm.dp,IF('Input Group 2'!$E17="",3,'Input Group 2'!$E17),_xlpm.xr,ROUND(_xlpm.x,_xlpm.dp),_xlpm.lo,ROUND(_xlpm.ref-_xlpm.D,_xlpm.dp),_xlpm.hi,ROUND(_xlpm.ref+_xlpm.D,_xlpm.dp),IF(_xlpm.xr&gt;=_xlpm.ref,(_xlpm.xr-_xlpm.ref)/(_xlpm.hi-_xlpm.ref),(_xlpm.xr-_xlpm.ref)/(_xlpm.ref-_xlpm.lo)))</f>
        <v>8.1967213114754175E-2</v>
      </c>
      <c r="H41" s="259">
        <f>_xlfn.LET(_xlpm.x,'Input Group 2'!AA17,_xlpm.ref,'Input Group 2'!G17,_xlpm.D,'Input Group 2'!S17,_xlpm.dp,IF('Input Group 2'!$E17="",3,'Input Group 2'!$E17),_xlpm.xr,ROUND(_xlpm.x,_xlpm.dp),_xlpm.lo,ROUND(_xlpm.ref-_xlpm.D,_xlpm.dp),_xlpm.hi,ROUND(_xlpm.ref+_xlpm.D,_xlpm.dp),IF(_xlpm.xr&gt;=_xlpm.ref,(_xlpm.xr-_xlpm.ref)/(_xlpm.hi-_xlpm.ref),(_xlpm.xr-_xlpm.ref)/(_xlpm.ref-_xlpm.lo)))</f>
        <v>0.6557377049180334</v>
      </c>
      <c r="I41" s="260">
        <f>_xlfn.LET(_xlpm.x,'Input Group 2'!AE17,_xlpm.ref,'Input Group 2'!G17,_xlpm.D,'Input Group 2'!S17,_xlpm.dp,IF('Input Group 2'!$E17="",3,'Input Group 2'!$E17),_xlpm.xr,ROUND(_xlpm.x,_xlpm.dp),_xlpm.lo,ROUND(_xlpm.ref-_xlpm.D,_xlpm.dp),_xlpm.hi,ROUND(_xlpm.ref+_xlpm.D,_xlpm.dp),IF(_xlpm.xr&gt;=_xlpm.ref,(_xlpm.xr-_xlpm.ref)/(_xlpm.hi-_xlpm.ref),(_xlpm.xr-_xlpm.ref)/(_xlpm.ref-_xlpm.lo)))</f>
        <v>1.8852459016393459</v>
      </c>
      <c r="J41" s="261">
        <f>_xlfn.LET(_xlpm.x,'Input Group 2'!AI17,_xlpm.ref,'Input Group 2'!G17,_xlpm.D,'Input Group 2'!S17,_xlpm.dp,IF('Input Group 2'!$E17="",3,'Input Group 2'!$E17),_xlpm.xr,ROUND(_xlpm.x,_xlpm.dp),_xlpm.lo,ROUND(_xlpm.ref-_xlpm.D,_xlpm.dp),_xlpm.hi,ROUND(_xlpm.ref+_xlpm.D,_xlpm.dp),IF(_xlpm.xr&gt;=_xlpm.ref,(_xlpm.xr-_xlpm.ref)/(_xlpm.hi-_xlpm.ref),(_xlpm.xr-_xlpm.ref)/(_xlpm.ref-_xlpm.lo)))</f>
        <v>1.6393442622950836</v>
      </c>
      <c r="K41" s="262">
        <f>_xlfn.LET(_xlpm.x,'Input Group 2'!AM17,_xlpm.ref,'Input Group 2'!G17,_xlpm.D,'Input Group 2'!S17,_xlpm.dp,IF('Input Group 2'!$E17="",3,'Input Group 2'!$E17),_xlpm.xr,ROUND(_xlpm.x,_xlpm.dp),_xlpm.lo,ROUND(_xlpm.ref-_xlpm.D,_xlpm.dp),_xlpm.hi,ROUND(_xlpm.ref+_xlpm.D,_xlpm.dp),IF(_xlpm.xr&gt;=_xlpm.ref,(_xlpm.xr-_xlpm.ref)/(_xlpm.hi-_xlpm.ref),(_xlpm.xr-_xlpm.ref)/(_xlpm.ref-_xlpm.lo)))</f>
        <v>1.2131147540983627</v>
      </c>
    </row>
    <row r="42" spans="2:12" ht="15" customHeight="1" x14ac:dyDescent="0.3">
      <c r="B42" s="553"/>
      <c r="C42" s="247" t="str">
        <f>TRIM('Input Group 2'!B18)</f>
        <v>Testcase2</v>
      </c>
      <c r="D42" s="119" t="str">
        <f>'Input Group 2'!C18</f>
        <v>n/a</v>
      </c>
      <c r="E42" s="120">
        <f>'Input Group 2'!D18</f>
        <v>1000</v>
      </c>
      <c r="F42" s="121" t="s">
        <v>0</v>
      </c>
      <c r="G42" s="122">
        <f>_xlfn.LET(_xlpm.x,'Input Group 2'!V18,_xlpm.ref,'Input Group 2'!F18,_xlpm.D,'Input Group 2'!O18,_xlpm.dp,IF('Input Group 2'!$E18="",3,'Input Group 2'!$E18),_xlpm.xr,ROUND(_xlpm.x,_xlpm.dp),_xlpm.lo,ROUND(_xlpm.ref-_xlpm.D,_xlpm.dp),_xlpm.hi,ROUND(_xlpm.ref+_xlpm.D,_xlpm.dp),IF(_xlpm.xr&gt;=_xlpm.ref,(_xlpm.xr-_xlpm.ref)/(_xlpm.hi-_xlpm.ref),(_xlpm.xr-_xlpm.ref)/(_xlpm.ref-_xlpm.lo)))</f>
        <v>-2.6607142857142883</v>
      </c>
      <c r="H42" s="122">
        <f>_xlfn.LET(_xlpm.x,'Input Group 2'!Z18,_xlpm.ref,'Input Group 2'!F18,_xlpm.D,'Input Group 2'!O18,_xlpm.dp,IF('Input Group 2'!$E18="",3,'Input Group 2'!$E18),_xlpm.xr,ROUND(_xlpm.x,_xlpm.dp),_xlpm.lo,ROUND(_xlpm.ref-_xlpm.D,_xlpm.dp),_xlpm.hi,ROUND(_xlpm.ref+_xlpm.D,_xlpm.dp),IF(_xlpm.xr&gt;=_xlpm.ref,(_xlpm.xr-_xlpm.ref)/(_xlpm.hi-_xlpm.ref),(_xlpm.xr-_xlpm.ref)/(_xlpm.ref-_xlpm.lo)))</f>
        <v>-4.1071428571428612</v>
      </c>
      <c r="I42" s="122">
        <f>_xlfn.LET(_xlpm.x,'Input Group 2'!AD18,_xlpm.ref,'Input Group 2'!F18,_xlpm.D,'Input Group 2'!O18,_xlpm.dp,IF('Input Group 2'!$E18="",3,'Input Group 2'!$E18),_xlpm.xr,ROUND(_xlpm.x,_xlpm.dp),_xlpm.lo,ROUND(_xlpm.ref-_xlpm.D,_xlpm.dp),_xlpm.hi,ROUND(_xlpm.ref+_xlpm.D,_xlpm.dp),IF(_xlpm.xr&gt;=_xlpm.ref,(_xlpm.xr-_xlpm.ref)/(_xlpm.hi-_xlpm.ref),(_xlpm.xr-_xlpm.ref)/(_xlpm.ref-_xlpm.lo)))</f>
        <v>-2.5000000000000027</v>
      </c>
      <c r="J42" s="263">
        <f>_xlfn.LET(_xlpm.x,'Input Group 2'!AH18,_xlpm.ref,'Input Group 2'!F18,_xlpm.D,'Input Group 2'!O18,_xlpm.dp,IF('Input Group 2'!$E18="",3,'Input Group 2'!$E18),_xlpm.xr,ROUND(_xlpm.x,_xlpm.dp),_xlpm.lo,ROUND(_xlpm.ref-_xlpm.D,_xlpm.dp),_xlpm.hi,ROUND(_xlpm.ref+_xlpm.D,_xlpm.dp),IF(_xlpm.xr&gt;=_xlpm.ref,(_xlpm.xr-_xlpm.ref)/(_xlpm.hi-_xlpm.ref),(_xlpm.xr-_xlpm.ref)/(_xlpm.ref-_xlpm.lo)))</f>
        <v>3.571428571428617E-2</v>
      </c>
      <c r="K42" s="264">
        <f>_xlfn.LET(_xlpm.x,'Input Group 2'!AL18,_xlpm.ref,'Input Group 2'!F18,_xlpm.D,'Input Group 2'!O18,_xlpm.dp,IF('Input Group 2'!$E18="",3,'Input Group 2'!$E18),_xlpm.xr,ROUND(_xlpm.x,_xlpm.dp),_xlpm.lo,ROUND(_xlpm.ref-_xlpm.D,_xlpm.dp),_xlpm.hi,ROUND(_xlpm.ref+_xlpm.D,_xlpm.dp),IF(_xlpm.xr&gt;=_xlpm.ref,(_xlpm.xr-_xlpm.ref)/(_xlpm.hi-_xlpm.ref),(_xlpm.xr-_xlpm.ref)/(_xlpm.ref-_xlpm.lo)))</f>
        <v>0.55357142857142794</v>
      </c>
    </row>
    <row r="43" spans="2:12" ht="15" customHeight="1" x14ac:dyDescent="0.3">
      <c r="B43" s="553"/>
      <c r="C43" s="247" t="str">
        <f>TRIM('Input Group 2'!B18)</f>
        <v>Testcase2</v>
      </c>
      <c r="D43" s="119" t="str">
        <f>'Input Group 2'!C18</f>
        <v>n/a</v>
      </c>
      <c r="E43" s="120">
        <f>'Input Group 2'!D18</f>
        <v>1000</v>
      </c>
      <c r="F43" s="121" t="s">
        <v>1</v>
      </c>
      <c r="G43" s="265">
        <f>_xlfn.LET(_xlpm.x,'Input Group 2'!W18,_xlpm.ref,'Input Group 2'!G18,_xlpm.D,'Input Group 2'!S18,_xlpm.dp,IF('Input Group 2'!$E18="",3,'Input Group 2'!$E18),_xlpm.xr,ROUND(_xlpm.x,_xlpm.dp),_xlpm.lo,ROUND(_xlpm.ref-_xlpm.D,_xlpm.dp),_xlpm.hi,ROUND(_xlpm.ref+_xlpm.D,_xlpm.dp),IF(_xlpm.xr&gt;=_xlpm.ref,(_xlpm.xr-_xlpm.ref)/(_xlpm.hi-_xlpm.ref),(_xlpm.xr-_xlpm.ref)/(_xlpm.ref-_xlpm.lo)))</f>
        <v>-0.98360655737705005</v>
      </c>
      <c r="H43" s="266">
        <f>_xlfn.LET(_xlpm.x,'Input Group 2'!AA18,_xlpm.ref,'Input Group 2'!G18,_xlpm.D,'Input Group 2'!S18,_xlpm.dp,IF('Input Group 2'!$E18="",3,'Input Group 2'!$E18),_xlpm.xr,ROUND(_xlpm.x,_xlpm.dp),_xlpm.lo,ROUND(_xlpm.ref-_xlpm.D,_xlpm.dp),_xlpm.hi,ROUND(_xlpm.ref+_xlpm.D,_xlpm.dp),IF(_xlpm.xr&gt;=_xlpm.ref,(_xlpm.xr-_xlpm.ref)/(_xlpm.hi-_xlpm.ref),(_xlpm.xr-_xlpm.ref)/(_xlpm.ref-_xlpm.lo)))</f>
        <v>-0.16393442622950835</v>
      </c>
      <c r="I43" s="265">
        <f>_xlfn.LET(_xlpm.x,'Input Group 2'!AE18,_xlpm.ref,'Input Group 2'!G18,_xlpm.D,'Input Group 2'!S18,_xlpm.dp,IF('Input Group 2'!$E18="",3,'Input Group 2'!$E18),_xlpm.xr,ROUND(_xlpm.x,_xlpm.dp),_xlpm.lo,ROUND(_xlpm.ref-_xlpm.D,_xlpm.dp),_xlpm.hi,ROUND(_xlpm.ref+_xlpm.D,_xlpm.dp),IF(_xlpm.xr&gt;=_xlpm.ref,(_xlpm.xr-_xlpm.ref)/(_xlpm.hi-_xlpm.ref),(_xlpm.xr-_xlpm.ref)/(_xlpm.ref-_xlpm.lo)))</f>
        <v>0.98360655737705005</v>
      </c>
      <c r="J43" s="267">
        <f>_xlfn.LET(_xlpm.x,'Input Group 2'!AI18,_xlpm.ref,'Input Group 2'!G18,_xlpm.D,'Input Group 2'!S18,_xlpm.dp,IF('Input Group 2'!$E18="",3,'Input Group 2'!$E18),_xlpm.xr,ROUND(_xlpm.x,_xlpm.dp),_xlpm.lo,ROUND(_xlpm.ref-_xlpm.D,_xlpm.dp),_xlpm.hi,ROUND(_xlpm.ref+_xlpm.D,_xlpm.dp),IF(_xlpm.xr&gt;=_xlpm.ref,(_xlpm.xr-_xlpm.ref)/(_xlpm.hi-_xlpm.ref),(_xlpm.xr-_xlpm.ref)/(_xlpm.ref-_xlpm.lo)))</f>
        <v>0.16393442622950835</v>
      </c>
      <c r="K43" s="268">
        <f>_xlfn.LET(_xlpm.x,'Input Group 2'!AM18,_xlpm.ref,'Input Group 2'!G18,_xlpm.D,'Input Group 2'!S18,_xlpm.dp,IF('Input Group 2'!$E18="",3,'Input Group 2'!$E18),_xlpm.xr,ROUND(_xlpm.x,_xlpm.dp),_xlpm.lo,ROUND(_xlpm.ref-_xlpm.D,_xlpm.dp),_xlpm.hi,ROUND(_xlpm.ref+_xlpm.D,_xlpm.dp),IF(_xlpm.xr&gt;=_xlpm.ref,(_xlpm.xr-_xlpm.ref)/(_xlpm.hi-_xlpm.ref),(_xlpm.xr-_xlpm.ref)/(_xlpm.ref-_xlpm.lo)))</f>
        <v>0.1721311475409833</v>
      </c>
      <c r="L43" s="87"/>
    </row>
    <row r="44" spans="2:12" ht="15" customHeight="1" x14ac:dyDescent="0.3">
      <c r="B44" s="553"/>
      <c r="C44" s="238" t="str">
        <f>TRIM('Input Group 2'!B19)</f>
        <v>Testcase2</v>
      </c>
      <c r="D44" s="134" t="str">
        <f>'Input Group 2'!C19</f>
        <v>n/a</v>
      </c>
      <c r="E44" s="135">
        <f>'Input Group 2'!D19</f>
        <v>5000</v>
      </c>
      <c r="F44" s="136" t="s">
        <v>0</v>
      </c>
      <c r="G44" s="122">
        <f>_xlfn.LET(_xlpm.x,'Input Group 2'!V19,_xlpm.ref,'Input Group 2'!F19,_xlpm.D,'Input Group 2'!O19,_xlpm.dp,IF('Input Group 2'!$E19="",3,'Input Group 2'!$E19),_xlpm.xr,ROUND(_xlpm.x,_xlpm.dp),_xlpm.lo,ROUND(_xlpm.ref-_xlpm.D,_xlpm.dp),_xlpm.hi,ROUND(_xlpm.ref+_xlpm.D,_xlpm.dp),IF(_xlpm.xr&gt;=_xlpm.ref,(_xlpm.xr-_xlpm.ref)/(_xlpm.hi-_xlpm.ref),(_xlpm.xr-_xlpm.ref)/(_xlpm.ref-_xlpm.lo)))</f>
        <v>-2.4107142857142883</v>
      </c>
      <c r="H44" s="122">
        <f>_xlfn.LET(_xlpm.x,'Input Group 2'!Z19,_xlpm.ref,'Input Group 2'!F19,_xlpm.D,'Input Group 2'!O19,_xlpm.dp,IF('Input Group 2'!$E19="",3,'Input Group 2'!$E19),_xlpm.xr,ROUND(_xlpm.x,_xlpm.dp),_xlpm.lo,ROUND(_xlpm.ref-_xlpm.D,_xlpm.dp),_xlpm.hi,ROUND(_xlpm.ref+_xlpm.D,_xlpm.dp),IF(_xlpm.xr&gt;=_xlpm.ref,(_xlpm.xr-_xlpm.ref)/(_xlpm.hi-_xlpm.ref),(_xlpm.xr-_xlpm.ref)/(_xlpm.ref-_xlpm.lo)))</f>
        <v>-2.892857142857145</v>
      </c>
      <c r="I44" s="269">
        <f>_xlfn.LET(_xlpm.x,'Input Group 2'!AD19,_xlpm.ref,'Input Group 2'!F19,_xlpm.D,'Input Group 2'!O19,_xlpm.dp,IF('Input Group 2'!$E19="",3,'Input Group 2'!$E19),_xlpm.xr,ROUND(_xlpm.x,_xlpm.dp),_xlpm.lo,ROUND(_xlpm.ref-_xlpm.D,_xlpm.dp),_xlpm.hi,ROUND(_xlpm.ref+_xlpm.D,_xlpm.dp),IF(_xlpm.xr&gt;=_xlpm.ref,(_xlpm.xr-_xlpm.ref)/(_xlpm.hi-_xlpm.ref),(_xlpm.xr-_xlpm.ref)/(_xlpm.ref-_xlpm.lo)))</f>
        <v>-1.1607142857142869</v>
      </c>
      <c r="J44" s="270">
        <f>_xlfn.LET(_xlpm.x,'Input Group 2'!AH19,_xlpm.ref,'Input Group 2'!F19,_xlpm.D,'Input Group 2'!O19,_xlpm.dp,IF('Input Group 2'!$E19="",3,'Input Group 2'!$E19),_xlpm.xr,ROUND(_xlpm.x,_xlpm.dp),_xlpm.lo,ROUND(_xlpm.ref-_xlpm.D,_xlpm.dp),_xlpm.hi,ROUND(_xlpm.ref+_xlpm.D,_xlpm.dp),IF(_xlpm.xr&gt;=_xlpm.ref,(_xlpm.xr-_xlpm.ref)/(_xlpm.hi-_xlpm.ref),(_xlpm.xr-_xlpm.ref)/(_xlpm.ref-_xlpm.lo)))</f>
        <v>0.21428571428571447</v>
      </c>
      <c r="K44" s="271">
        <f>_xlfn.LET(_xlpm.x,'Input Group 2'!AL19,_xlpm.ref,'Input Group 2'!F19,_xlpm.D,'Input Group 2'!O19,_xlpm.dp,IF('Input Group 2'!$E19="",3,'Input Group 2'!$E19),_xlpm.xr,ROUND(_xlpm.x,_xlpm.dp),_xlpm.lo,ROUND(_xlpm.ref-_xlpm.D,_xlpm.dp),_xlpm.hi,ROUND(_xlpm.ref+_xlpm.D,_xlpm.dp),IF(_xlpm.xr&gt;=_xlpm.ref,(_xlpm.xr-_xlpm.ref)/(_xlpm.hi-_xlpm.ref),(_xlpm.xr-_xlpm.ref)/(_xlpm.ref-_xlpm.lo)))</f>
        <v>0.66071428571428525</v>
      </c>
    </row>
    <row r="45" spans="2:12" ht="15" customHeight="1" x14ac:dyDescent="0.3">
      <c r="B45" s="553"/>
      <c r="C45" s="238" t="str">
        <f>TRIM('Input Group 2'!B19)</f>
        <v>Testcase2</v>
      </c>
      <c r="D45" s="134" t="str">
        <f>'Input Group 2'!C19</f>
        <v>n/a</v>
      </c>
      <c r="E45" s="135">
        <f>'Input Group 2'!D19</f>
        <v>5000</v>
      </c>
      <c r="F45" s="136" t="s">
        <v>1</v>
      </c>
      <c r="G45" s="272">
        <f>_xlfn.LET(_xlpm.x,'Input Group 2'!W19,_xlpm.ref,'Input Group 2'!G19,_xlpm.D,'Input Group 2'!S19,_xlpm.dp,IF('Input Group 2'!$E19="",3,'Input Group 2'!$E19),_xlpm.xr,ROUND(_xlpm.x,_xlpm.dp),_xlpm.lo,ROUND(_xlpm.ref-_xlpm.D,_xlpm.dp),_xlpm.hi,ROUND(_xlpm.ref+_xlpm.D,_xlpm.dp),IF(_xlpm.xr&gt;=_xlpm.ref,(_xlpm.xr-_xlpm.ref)/(_xlpm.hi-_xlpm.ref),(_xlpm.xr-_xlpm.ref)/(_xlpm.ref-_xlpm.lo)))</f>
        <v>-0.90163934426229597</v>
      </c>
      <c r="H45" s="273">
        <f>_xlfn.LET(_xlpm.x,'Input Group 2'!AA19,_xlpm.ref,'Input Group 2'!G19,_xlpm.D,'Input Group 2'!S19,_xlpm.dp,IF('Input Group 2'!$E19="",3,'Input Group 2'!$E19),_xlpm.xr,ROUND(_xlpm.x,_xlpm.dp),_xlpm.lo,ROUND(_xlpm.ref-_xlpm.D,_xlpm.dp),_xlpm.hi,ROUND(_xlpm.ref+_xlpm.D,_xlpm.dp),IF(_xlpm.xr&gt;=_xlpm.ref,(_xlpm.xr-_xlpm.ref)/(_xlpm.hi-_xlpm.ref),(_xlpm.xr-_xlpm.ref)/(_xlpm.ref-_xlpm.lo)))</f>
        <v>-0.73770491803278759</v>
      </c>
      <c r="I45" s="152">
        <f>_xlfn.LET(_xlpm.x,'Input Group 2'!AE19,_xlpm.ref,'Input Group 2'!G19,_xlpm.D,'Input Group 2'!S19,_xlpm.dp,IF('Input Group 2'!$E19="",3,'Input Group 2'!$E19),_xlpm.xr,ROUND(_xlpm.x,_xlpm.dp),_xlpm.lo,ROUND(_xlpm.ref-_xlpm.D,_xlpm.dp),_xlpm.hi,ROUND(_xlpm.ref+_xlpm.D,_xlpm.dp),IF(_xlpm.xr&gt;=_xlpm.ref,(_xlpm.xr-_xlpm.ref)/(_xlpm.hi-_xlpm.ref),(_xlpm.xr-_xlpm.ref)/(_xlpm.ref-_xlpm.lo)))</f>
        <v>8.1967213114754175E-2</v>
      </c>
      <c r="J45" s="140">
        <f>_xlfn.LET(_xlpm.x,'Input Group 2'!AI19,_xlpm.ref,'Input Group 2'!G19,_xlpm.D,'Input Group 2'!S19,_xlpm.dp,IF('Input Group 2'!$E19="",3,'Input Group 2'!$E19),_xlpm.xr,ROUND(_xlpm.x,_xlpm.dp),_xlpm.lo,ROUND(_xlpm.ref-_xlpm.D,_xlpm.dp),_xlpm.hi,ROUND(_xlpm.ref+_xlpm.D,_xlpm.dp),IF(_xlpm.xr&gt;=_xlpm.ref,(_xlpm.xr-_xlpm.ref)/(_xlpm.hi-_xlpm.ref),(_xlpm.xr-_xlpm.ref)/(_xlpm.ref-_xlpm.lo)))</f>
        <v>0.24590163934426251</v>
      </c>
      <c r="K45" s="274">
        <f>_xlfn.LET(_xlpm.x,'Input Group 2'!AM19,_xlpm.ref,'Input Group 2'!G19,_xlpm.D,'Input Group 2'!S19,_xlpm.dp,IF('Input Group 2'!$E19="",3,'Input Group 2'!$E19),_xlpm.xr,ROUND(_xlpm.x,_xlpm.dp),_xlpm.lo,ROUND(_xlpm.ref-_xlpm.D,_xlpm.dp),_xlpm.hi,ROUND(_xlpm.ref+_xlpm.D,_xlpm.dp),IF(_xlpm.xr&gt;=_xlpm.ref,(_xlpm.xr-_xlpm.ref)/(_xlpm.hi-_xlpm.ref),(_xlpm.xr-_xlpm.ref)/(_xlpm.ref-_xlpm.lo)))</f>
        <v>-9.0163934426229123E-2</v>
      </c>
    </row>
    <row r="46" spans="2:12" ht="15" customHeight="1" x14ac:dyDescent="0.3">
      <c r="B46" s="553"/>
      <c r="C46" s="247" t="str">
        <f>TRIM('Input Group 2'!B20)</f>
        <v>Testcase2</v>
      </c>
      <c r="D46" s="119" t="str">
        <f>'Input Group 2'!C20</f>
        <v>n/a</v>
      </c>
      <c r="E46" s="120">
        <f>'Input Group 2'!D20</f>
        <v>10000</v>
      </c>
      <c r="F46" s="121" t="s">
        <v>0</v>
      </c>
      <c r="G46" s="122">
        <f>_xlfn.LET(_xlpm.x,'Input Group 2'!V20,_xlpm.ref,'Input Group 2'!F20,_xlpm.D,'Input Group 2'!O20,_xlpm.dp,IF('Input Group 2'!$E20="",3,'Input Group 2'!$E20),_xlpm.xr,ROUND(_xlpm.x,_xlpm.dp),_xlpm.lo,ROUND(_xlpm.ref-_xlpm.D,_xlpm.dp),_xlpm.hi,ROUND(_xlpm.ref+_xlpm.D,_xlpm.dp),IF(_xlpm.xr&gt;=_xlpm.ref,(_xlpm.xr-_xlpm.ref)/(_xlpm.hi-_xlpm.ref),(_xlpm.xr-_xlpm.ref)/(_xlpm.ref-_xlpm.lo)))</f>
        <v>-2.0892857142857157</v>
      </c>
      <c r="H46" s="256">
        <f>_xlfn.LET(_xlpm.x,'Input Group 2'!Z20,_xlpm.ref,'Input Group 2'!F20,_xlpm.D,'Input Group 2'!O20,_xlpm.dp,IF('Input Group 2'!$E20="",3,'Input Group 2'!$E20),_xlpm.xr,ROUND(_xlpm.x,_xlpm.dp),_xlpm.lo,ROUND(_xlpm.ref-_xlpm.D,_xlpm.dp),_xlpm.hi,ROUND(_xlpm.ref+_xlpm.D,_xlpm.dp),IF(_xlpm.xr&gt;=_xlpm.ref,(_xlpm.xr-_xlpm.ref)/(_xlpm.hi-_xlpm.ref),(_xlpm.xr-_xlpm.ref)/(_xlpm.ref-_xlpm.lo)))</f>
        <v>-1.3928571428571437</v>
      </c>
      <c r="I46" s="122">
        <f>_xlfn.LET(_xlpm.x,'Input Group 2'!AD20,_xlpm.ref,'Input Group 2'!F20,_xlpm.D,'Input Group 2'!O20,_xlpm.dp,IF('Input Group 2'!$E20="",3,'Input Group 2'!$E20),_xlpm.xr,ROUND(_xlpm.x,_xlpm.dp),_xlpm.lo,ROUND(_xlpm.ref-_xlpm.D,_xlpm.dp),_xlpm.hi,ROUND(_xlpm.ref+_xlpm.D,_xlpm.dp),IF(_xlpm.xr&gt;=_xlpm.ref,(_xlpm.xr-_xlpm.ref)/(_xlpm.hi-_xlpm.ref),(_xlpm.xr-_xlpm.ref)/(_xlpm.ref-_xlpm.lo)))</f>
        <v>-4.0357142857142891</v>
      </c>
      <c r="J46" s="263">
        <f>_xlfn.LET(_xlpm.x,'Input Group 2'!AH20,_xlpm.ref,'Input Group 2'!F20,_xlpm.D,'Input Group 2'!O20,_xlpm.dp,IF('Input Group 2'!$E20="",3,'Input Group 2'!$E20),_xlpm.xr,ROUND(_xlpm.x,_xlpm.dp),_xlpm.lo,ROUND(_xlpm.ref-_xlpm.D,_xlpm.dp),_xlpm.hi,ROUND(_xlpm.ref+_xlpm.D,_xlpm.dp),IF(_xlpm.xr&gt;=_xlpm.ref,(_xlpm.xr-_xlpm.ref)/(_xlpm.hi-_xlpm.ref),(_xlpm.xr-_xlpm.ref)/(_xlpm.ref-_xlpm.lo)))</f>
        <v>3.571428571428617E-2</v>
      </c>
      <c r="K46" s="178">
        <f>_xlfn.LET(_xlpm.x,'Input Group 2'!AL20,_xlpm.ref,'Input Group 2'!F20,_xlpm.D,'Input Group 2'!O20,_xlpm.dp,IF('Input Group 2'!$E20="",3,'Input Group 2'!$E20),_xlpm.xr,ROUND(_xlpm.x,_xlpm.dp),_xlpm.lo,ROUND(_xlpm.ref-_xlpm.D,_xlpm.dp),_xlpm.hi,ROUND(_xlpm.ref+_xlpm.D,_xlpm.dp),IF(_xlpm.xr&gt;=_xlpm.ref,(_xlpm.xr-_xlpm.ref)/(_xlpm.hi-_xlpm.ref),(_xlpm.xr-_xlpm.ref)/(_xlpm.ref-_xlpm.lo)))</f>
        <v>-0.26785714285714313</v>
      </c>
    </row>
    <row r="47" spans="2:12" ht="15" customHeight="1" x14ac:dyDescent="0.3">
      <c r="B47" s="553"/>
      <c r="C47" s="247" t="str">
        <f>TRIM('Input Group 2'!B20)</f>
        <v>Testcase2</v>
      </c>
      <c r="D47" s="119" t="str">
        <f>'Input Group 2'!C20</f>
        <v>n/a</v>
      </c>
      <c r="E47" s="120">
        <f>'Input Group 2'!D20</f>
        <v>10000</v>
      </c>
      <c r="F47" s="121" t="s">
        <v>1</v>
      </c>
      <c r="G47" s="275">
        <f>_xlfn.LET(_xlpm.x,'Input Group 2'!W20,_xlpm.ref,'Input Group 2'!G20,_xlpm.D,'Input Group 2'!S20,_xlpm.dp,IF('Input Group 2'!$E20="",3,'Input Group 2'!$E20),_xlpm.xr,ROUND(_xlpm.x,_xlpm.dp),_xlpm.lo,ROUND(_xlpm.ref-_xlpm.D,_xlpm.dp),_xlpm.hi,ROUND(_xlpm.ref+_xlpm.D,_xlpm.dp),IF(_xlpm.xr&gt;=_xlpm.ref,(_xlpm.xr-_xlpm.ref)/(_xlpm.hi-_xlpm.ref),(_xlpm.xr-_xlpm.ref)/(_xlpm.ref-_xlpm.lo)))</f>
        <v>-0.6557377049180334</v>
      </c>
      <c r="H47" s="236">
        <f>_xlfn.LET(_xlpm.x,'Input Group 2'!AA20,_xlpm.ref,'Input Group 2'!G20,_xlpm.D,'Input Group 2'!S20,_xlpm.dp,IF('Input Group 2'!$E20="",3,'Input Group 2'!$E20),_xlpm.xr,ROUND(_xlpm.x,_xlpm.dp),_xlpm.lo,ROUND(_xlpm.ref-_xlpm.D,_xlpm.dp),_xlpm.hi,ROUND(_xlpm.ref+_xlpm.D,_xlpm.dp),IF(_xlpm.xr&gt;=_xlpm.ref,(_xlpm.xr-_xlpm.ref)/(_xlpm.hi-_xlpm.ref),(_xlpm.xr-_xlpm.ref)/(_xlpm.ref-_xlpm.lo)))</f>
        <v>-0.24590163934426251</v>
      </c>
      <c r="I47" s="122">
        <f>_xlfn.LET(_xlpm.x,'Input Group 2'!AE20,_xlpm.ref,'Input Group 2'!G20,_xlpm.D,'Input Group 2'!S20,_xlpm.dp,IF('Input Group 2'!$E20="",3,'Input Group 2'!$E20),_xlpm.xr,ROUND(_xlpm.x,_xlpm.dp),_xlpm.lo,ROUND(_xlpm.ref-_xlpm.D,_xlpm.dp),_xlpm.hi,ROUND(_xlpm.ref+_xlpm.D,_xlpm.dp),IF(_xlpm.xr&gt;=_xlpm.ref,(_xlpm.xr-_xlpm.ref)/(_xlpm.hi-_xlpm.ref),(_xlpm.xr-_xlpm.ref)/(_xlpm.ref-_xlpm.lo)))</f>
        <v>3.1967213114754127</v>
      </c>
      <c r="J47" s="276">
        <f>_xlfn.LET(_xlpm.x,'Input Group 2'!AI20,_xlpm.ref,'Input Group 2'!G20,_xlpm.D,'Input Group 2'!S20,_xlpm.dp,IF('Input Group 2'!$E20="",3,'Input Group 2'!$E20),_xlpm.xr,ROUND(_xlpm.x,_xlpm.dp),_xlpm.lo,ROUND(_xlpm.ref-_xlpm.D,_xlpm.dp),_xlpm.hi,ROUND(_xlpm.ref+_xlpm.D,_xlpm.dp),IF(_xlpm.xr&gt;=_xlpm.ref,(_xlpm.xr-_xlpm.ref)/(_xlpm.hi-_xlpm.ref),(_xlpm.xr-_xlpm.ref)/(_xlpm.ref-_xlpm.lo)))</f>
        <v>0.6557377049180334</v>
      </c>
      <c r="K47" s="193">
        <f>_xlfn.LET(_xlpm.x,'Input Group 2'!AM20,_xlpm.ref,'Input Group 2'!G20,_xlpm.D,'Input Group 2'!S20,_xlpm.dp,IF('Input Group 2'!$E20="",3,'Input Group 2'!$E20),_xlpm.xr,ROUND(_xlpm.x,_xlpm.dp),_xlpm.lo,ROUND(_xlpm.ref-_xlpm.D,_xlpm.dp),_xlpm.hi,ROUND(_xlpm.ref+_xlpm.D,_xlpm.dp),IF(_xlpm.xr&gt;=_xlpm.ref,(_xlpm.xr-_xlpm.ref)/(_xlpm.hi-_xlpm.ref),(_xlpm.xr-_xlpm.ref)/(_xlpm.ref-_xlpm.lo)))</f>
        <v>9.0163934426229123E-2</v>
      </c>
    </row>
    <row r="48" spans="2:12" ht="15" customHeight="1" x14ac:dyDescent="0.3">
      <c r="B48" s="553"/>
      <c r="C48" s="238" t="str">
        <f>TRIM('Input Group 2'!B21)</f>
        <v>Testcase2</v>
      </c>
      <c r="D48" s="134" t="str">
        <f>'Input Group 2'!C21</f>
        <v>n/a</v>
      </c>
      <c r="E48" s="135">
        <f>'Input Group 2'!D21</f>
        <v>50000</v>
      </c>
      <c r="F48" s="136" t="s">
        <v>0</v>
      </c>
      <c r="G48" s="277">
        <f>_xlfn.LET(_xlpm.x,'Input Group 2'!V21,_xlpm.ref,'Input Group 2'!F21,_xlpm.D,'Input Group 2'!O21,_xlpm.dp,IF('Input Group 2'!$E21="",3,'Input Group 2'!$E21),_xlpm.xr,ROUND(_xlpm.x,_xlpm.dp),_xlpm.lo,ROUND(_xlpm.ref-_xlpm.D,_xlpm.dp),_xlpm.hi,ROUND(_xlpm.ref+_xlpm.D,_xlpm.dp),IF(_xlpm.xr&gt;=_xlpm.ref,(_xlpm.xr-_xlpm.ref)/(_xlpm.hi-_xlpm.ref),(_xlpm.xr-_xlpm.ref)/(_xlpm.ref-_xlpm.lo)))</f>
        <v>-1.4107142857142869</v>
      </c>
      <c r="H48" s="278">
        <f>_xlfn.LET(_xlpm.x,'Input Group 2'!Z21,_xlpm.ref,'Input Group 2'!F21,_xlpm.D,'Input Group 2'!O21,_xlpm.dp,IF('Input Group 2'!$E21="",3,'Input Group 2'!$E21),_xlpm.xr,ROUND(_xlpm.x,_xlpm.dp),_xlpm.lo,ROUND(_xlpm.ref-_xlpm.D,_xlpm.dp),_xlpm.hi,ROUND(_xlpm.ref+_xlpm.D,_xlpm.dp),IF(_xlpm.xr&gt;=_xlpm.ref,(_xlpm.xr-_xlpm.ref)/(_xlpm.hi-_xlpm.ref),(_xlpm.xr-_xlpm.ref)/(_xlpm.ref-_xlpm.lo)))</f>
        <v>-0.73214285714285687</v>
      </c>
      <c r="I48" s="122">
        <f>_xlfn.LET(_xlpm.x,'Input Group 2'!AD21,_xlpm.ref,'Input Group 2'!F21,_xlpm.D,'Input Group 2'!O21,_xlpm.dp,IF('Input Group 2'!$E21="",3,'Input Group 2'!$E21),_xlpm.xr,ROUND(_xlpm.x,_xlpm.dp),_xlpm.lo,ROUND(_xlpm.ref-_xlpm.D,_xlpm.dp),_xlpm.hi,ROUND(_xlpm.ref+_xlpm.D,_xlpm.dp),IF(_xlpm.xr&gt;=_xlpm.ref,(_xlpm.xr-_xlpm.ref)/(_xlpm.hi-_xlpm.ref),(_xlpm.xr-_xlpm.ref)/(_xlpm.ref-_xlpm.lo)))</f>
        <v>-4.0535714285714315</v>
      </c>
      <c r="J48" s="263">
        <f>_xlfn.LET(_xlpm.x,'Input Group 2'!AH21,_xlpm.ref,'Input Group 2'!F21,_xlpm.D,'Input Group 2'!O21,_xlpm.dp,IF('Input Group 2'!$E21="",3,'Input Group 2'!$E21),_xlpm.xr,ROUND(_xlpm.x,_xlpm.dp),_xlpm.lo,ROUND(_xlpm.ref-_xlpm.D,_xlpm.dp),_xlpm.hi,ROUND(_xlpm.ref+_xlpm.D,_xlpm.dp),IF(_xlpm.xr&gt;=_xlpm.ref,(_xlpm.xr-_xlpm.ref)/(_xlpm.hi-_xlpm.ref),(_xlpm.xr-_xlpm.ref)/(_xlpm.ref-_xlpm.lo)))</f>
        <v>3.571428571428617E-2</v>
      </c>
      <c r="K48" s="193">
        <f>_xlfn.LET(_xlpm.x,'Input Group 2'!AL21,_xlpm.ref,'Input Group 2'!F21,_xlpm.D,'Input Group 2'!O21,_xlpm.dp,IF('Input Group 2'!$E21="",3,'Input Group 2'!$E21),_xlpm.xr,ROUND(_xlpm.x,_xlpm.dp),_xlpm.lo,ROUND(_xlpm.ref-_xlpm.D,_xlpm.dp),_xlpm.hi,ROUND(_xlpm.ref+_xlpm.D,_xlpm.dp),IF(_xlpm.xr&gt;=_xlpm.ref,(_xlpm.xr-_xlpm.ref)/(_xlpm.hi-_xlpm.ref),(_xlpm.xr-_xlpm.ref)/(_xlpm.ref-_xlpm.lo)))</f>
        <v>-8.9285714285714371E-2</v>
      </c>
    </row>
    <row r="49" spans="2:11" ht="15" customHeight="1" x14ac:dyDescent="0.3">
      <c r="B49" s="553"/>
      <c r="C49" s="238" t="str">
        <f>TRIM('Input Group 2'!B21)</f>
        <v>Testcase2</v>
      </c>
      <c r="D49" s="134" t="str">
        <f>'Input Group 2'!C21</f>
        <v>n/a</v>
      </c>
      <c r="E49" s="135">
        <f>'Input Group 2'!D21</f>
        <v>50000</v>
      </c>
      <c r="F49" s="136" t="s">
        <v>1</v>
      </c>
      <c r="G49" s="177">
        <f>_xlfn.LET(_xlpm.x,'Input Group 2'!W21,_xlpm.ref,'Input Group 2'!G21,_xlpm.D,'Input Group 2'!S21,_xlpm.dp,IF('Input Group 2'!$E21="",3,'Input Group 2'!$E21),_xlpm.xr,ROUND(_xlpm.x,_xlpm.dp),_xlpm.lo,ROUND(_xlpm.ref-_xlpm.D,_xlpm.dp),_xlpm.hi,ROUND(_xlpm.ref+_xlpm.D,_xlpm.dp),IF(_xlpm.xr&gt;=_xlpm.ref,(_xlpm.xr-_xlpm.ref)/(_xlpm.hi-_xlpm.ref),(_xlpm.xr-_xlpm.ref)/(_xlpm.ref-_xlpm.lo)))</f>
        <v>-0.16393442622950835</v>
      </c>
      <c r="H49" s="279">
        <f>_xlfn.LET(_xlpm.x,'Input Group 2'!AA21,_xlpm.ref,'Input Group 2'!G21,_xlpm.D,'Input Group 2'!S21,_xlpm.dp,IF('Input Group 2'!$E21="",3,'Input Group 2'!$E21),_xlpm.xr,ROUND(_xlpm.x,_xlpm.dp),_xlpm.lo,ROUND(_xlpm.ref-_xlpm.D,_xlpm.dp),_xlpm.hi,ROUND(_xlpm.ref+_xlpm.D,_xlpm.dp),IF(_xlpm.xr&gt;=_xlpm.ref,(_xlpm.xr-_xlpm.ref)/(_xlpm.hi-_xlpm.ref),(_xlpm.xr-_xlpm.ref)/(_xlpm.ref-_xlpm.lo)))</f>
        <v>0</v>
      </c>
      <c r="I49" s="122">
        <f>_xlfn.LET(_xlpm.x,'Input Group 2'!AE21,_xlpm.ref,'Input Group 2'!G21,_xlpm.D,'Input Group 2'!S21,_xlpm.dp,IF('Input Group 2'!$E21="",3,'Input Group 2'!$E21),_xlpm.xr,ROUND(_xlpm.x,_xlpm.dp),_xlpm.lo,ROUND(_xlpm.ref-_xlpm.D,_xlpm.dp),_xlpm.hi,ROUND(_xlpm.ref+_xlpm.D,_xlpm.dp),IF(_xlpm.xr&gt;=_xlpm.ref,(_xlpm.xr-_xlpm.ref)/(_xlpm.hi-_xlpm.ref),(_xlpm.xr-_xlpm.ref)/(_xlpm.ref-_xlpm.lo)))</f>
        <v>3.3606557377049211</v>
      </c>
      <c r="J49" s="273">
        <f>_xlfn.LET(_xlpm.x,'Input Group 2'!AI21,_xlpm.ref,'Input Group 2'!G21,_xlpm.D,'Input Group 2'!S21,_xlpm.dp,IF('Input Group 2'!$E21="",3,'Input Group 2'!$E21),_xlpm.xr,ROUND(_xlpm.x,_xlpm.dp),_xlpm.lo,ROUND(_xlpm.ref-_xlpm.D,_xlpm.dp),_xlpm.hi,ROUND(_xlpm.ref+_xlpm.D,_xlpm.dp),IF(_xlpm.xr&gt;=_xlpm.ref,(_xlpm.xr-_xlpm.ref)/(_xlpm.hi-_xlpm.ref),(_xlpm.xr-_xlpm.ref)/(_xlpm.ref-_xlpm.lo)))</f>
        <v>0.90163934426229597</v>
      </c>
      <c r="K49" s="280">
        <f>_xlfn.LET(_xlpm.x,'Input Group 2'!AM21,_xlpm.ref,'Input Group 2'!G21,_xlpm.D,'Input Group 2'!S21,_xlpm.dp,IF('Input Group 2'!$E21="",3,'Input Group 2'!$E21),_xlpm.xr,ROUND(_xlpm.x,_xlpm.dp),_xlpm.lo,ROUND(_xlpm.ref-_xlpm.D,_xlpm.dp),_xlpm.hi,ROUND(_xlpm.ref+_xlpm.D,_xlpm.dp),IF(_xlpm.xr&gt;=_xlpm.ref,(_xlpm.xr-_xlpm.ref)/(_xlpm.hi-_xlpm.ref),(_xlpm.xr-_xlpm.ref)/(_xlpm.ref-_xlpm.lo)))</f>
        <v>0.3278688524590167</v>
      </c>
    </row>
    <row r="50" spans="2:11" ht="15" customHeight="1" x14ac:dyDescent="0.3">
      <c r="B50" s="553"/>
      <c r="C50" s="247" t="str">
        <f>TRIM('Input Group 2'!B22)</f>
        <v>Testcase4</v>
      </c>
      <c r="D50" s="119" t="str">
        <f>'Input Group 2'!C22</f>
        <v>n/a</v>
      </c>
      <c r="E50" s="120">
        <f>'Input Group 2'!D22</f>
        <v>500</v>
      </c>
      <c r="F50" s="121" t="s">
        <v>0</v>
      </c>
      <c r="G50" s="137">
        <f>_xlfn.LET(_xlpm.x,'Input Group 2'!V22,_xlpm.ref,'Input Group 2'!F22,_xlpm.D,'Input Group 2'!O22,_xlpm.dp,IF('Input Group 2'!$E22="",3,'Input Group 2'!$E22),_xlpm.xr,ROUND(_xlpm.x,_xlpm.dp),_xlpm.lo,ROUND(_xlpm.ref-_xlpm.D,_xlpm.dp),_xlpm.hi,ROUND(_xlpm.ref+_xlpm.D,_xlpm.dp),IF(_xlpm.xr&gt;=_xlpm.ref,(_xlpm.xr-_xlpm.ref)/(_xlpm.hi-_xlpm.ref),(_xlpm.xr-_xlpm.ref)/(_xlpm.ref-_xlpm.lo)))</f>
        <v>0</v>
      </c>
      <c r="H50" s="281">
        <f>_xlfn.LET(_xlpm.x,'Input Group 2'!Z22,_xlpm.ref,'Input Group 2'!F22,_xlpm.D,'Input Group 2'!O22,_xlpm.dp,IF('Input Group 2'!$E22="",3,'Input Group 2'!$E22),_xlpm.xr,ROUND(_xlpm.x,_xlpm.dp),_xlpm.lo,ROUND(_xlpm.ref-_xlpm.D,_xlpm.dp),_xlpm.hi,ROUND(_xlpm.ref+_xlpm.D,_xlpm.dp),IF(_xlpm.xr&gt;=_xlpm.ref,(_xlpm.xr-_xlpm.ref)/(_xlpm.hi-_xlpm.ref),(_xlpm.xr-_xlpm.ref)/(_xlpm.ref-_xlpm.lo)))</f>
        <v>-1</v>
      </c>
      <c r="I50" s="281">
        <f>_xlfn.LET(_xlpm.x,'Input Group 2'!AD22,_xlpm.ref,'Input Group 2'!F22,_xlpm.D,'Input Group 2'!O22,_xlpm.dp,IF('Input Group 2'!$E22="",3,'Input Group 2'!$E22),_xlpm.xr,ROUND(_xlpm.x,_xlpm.dp),_xlpm.lo,ROUND(_xlpm.ref-_xlpm.D,_xlpm.dp),_xlpm.hi,ROUND(_xlpm.ref+_xlpm.D,_xlpm.dp),IF(_xlpm.xr&gt;=_xlpm.ref,(_xlpm.xr-_xlpm.ref)/(_xlpm.hi-_xlpm.ref),(_xlpm.xr-_xlpm.ref)/(_xlpm.ref-_xlpm.lo)))</f>
        <v>-1</v>
      </c>
      <c r="J50" s="177">
        <f>_xlfn.LET(_xlpm.x,'Input Group 2'!AH22,_xlpm.ref,'Input Group 2'!F22,_xlpm.D,'Input Group 2'!O22,_xlpm.dp,IF('Input Group 2'!$E22="",3,'Input Group 2'!$E22),_xlpm.xr,ROUND(_xlpm.x,_xlpm.dp),_xlpm.lo,ROUND(_xlpm.ref-_xlpm.D,_xlpm.dp),_xlpm.hi,ROUND(_xlpm.ref+_xlpm.D,_xlpm.dp),IF(_xlpm.xr&gt;=_xlpm.ref,(_xlpm.xr-_xlpm.ref)/(_xlpm.hi-_xlpm.ref),(_xlpm.xr-_xlpm.ref)/(_xlpm.ref-_xlpm.lo)))</f>
        <v>0</v>
      </c>
      <c r="K50" s="282">
        <f>_xlfn.LET(_xlpm.x,'Input Group 2'!AL22,_xlpm.ref,'Input Group 2'!F22,_xlpm.D,'Input Group 2'!O22,_xlpm.dp,IF('Input Group 2'!$E22="",3,'Input Group 2'!$E22),_xlpm.xr,ROUND(_xlpm.x,_xlpm.dp),_xlpm.lo,ROUND(_xlpm.ref-_xlpm.D,_xlpm.dp),_xlpm.hi,ROUND(_xlpm.ref+_xlpm.D,_xlpm.dp),IF(_xlpm.xr&gt;=_xlpm.ref,(_xlpm.xr-_xlpm.ref)/(_xlpm.hi-_xlpm.ref),(_xlpm.xr-_xlpm.ref)/(_xlpm.ref-_xlpm.lo)))</f>
        <v>-2</v>
      </c>
    </row>
    <row r="51" spans="2:11" ht="15" customHeight="1" x14ac:dyDescent="0.3">
      <c r="B51" s="553"/>
      <c r="C51" s="247" t="str">
        <f>TRIM('Input Group 2'!B22)</f>
        <v>Testcase4</v>
      </c>
      <c r="D51" s="119" t="str">
        <f>'Input Group 2'!C22</f>
        <v>n/a</v>
      </c>
      <c r="E51" s="120">
        <f>'Input Group 2'!D22</f>
        <v>500</v>
      </c>
      <c r="F51" s="121" t="s">
        <v>1</v>
      </c>
      <c r="G51" s="283">
        <f>_xlfn.LET(_xlpm.x,'Input Group 2'!W22,_xlpm.ref,'Input Group 2'!G22,_xlpm.D,'Input Group 2'!S22,_xlpm.dp,IF('Input Group 2'!$E22="",3,'Input Group 2'!$E22),_xlpm.xr,ROUND(_xlpm.x,_xlpm.dp),_xlpm.lo,ROUND(_xlpm.ref-_xlpm.D,_xlpm.dp),_xlpm.hi,ROUND(_xlpm.ref+_xlpm.D,_xlpm.dp),IF(_xlpm.xr&gt;=_xlpm.ref,(_xlpm.xr-_xlpm.ref)/(_xlpm.hi-_xlpm.ref),(_xlpm.xr-_xlpm.ref)/(_xlpm.ref-_xlpm.lo)))</f>
        <v>-0.2</v>
      </c>
      <c r="H51" s="284">
        <f>_xlfn.LET(_xlpm.x,'Input Group 2'!AA22,_xlpm.ref,'Input Group 2'!G22,_xlpm.D,'Input Group 2'!S22,_xlpm.dp,IF('Input Group 2'!$E22="",3,'Input Group 2'!$E22),_xlpm.xr,ROUND(_xlpm.x,_xlpm.dp),_xlpm.lo,ROUND(_xlpm.ref-_xlpm.D,_xlpm.dp),_xlpm.hi,ROUND(_xlpm.ref+_xlpm.D,_xlpm.dp),IF(_xlpm.xr&gt;=_xlpm.ref,(_xlpm.xr-_xlpm.ref)/(_xlpm.hi-_xlpm.ref),(_xlpm.xr-_xlpm.ref)/(_xlpm.ref-_xlpm.lo)))</f>
        <v>-1</v>
      </c>
      <c r="I51" s="284">
        <f>_xlfn.LET(_xlpm.x,'Input Group 2'!AE22,_xlpm.ref,'Input Group 2'!G22,_xlpm.D,'Input Group 2'!S22,_xlpm.dp,IF('Input Group 2'!$E22="",3,'Input Group 2'!$E22),_xlpm.xr,ROUND(_xlpm.x,_xlpm.dp),_xlpm.lo,ROUND(_xlpm.ref-_xlpm.D,_xlpm.dp),_xlpm.hi,ROUND(_xlpm.ref+_xlpm.D,_xlpm.dp),IF(_xlpm.xr&gt;=_xlpm.ref,(_xlpm.xr-_xlpm.ref)/(_xlpm.hi-_xlpm.ref),(_xlpm.xr-_xlpm.ref)/(_xlpm.ref-_xlpm.lo)))</f>
        <v>-0.8</v>
      </c>
      <c r="J51" s="177">
        <f>_xlfn.LET(_xlpm.x,'Input Group 2'!AI22,_xlpm.ref,'Input Group 2'!G22,_xlpm.D,'Input Group 2'!S22,_xlpm.dp,IF('Input Group 2'!$E22="",3,'Input Group 2'!$E22),_xlpm.xr,ROUND(_xlpm.x,_xlpm.dp),_xlpm.lo,ROUND(_xlpm.ref-_xlpm.D,_xlpm.dp),_xlpm.hi,ROUND(_xlpm.ref+_xlpm.D,_xlpm.dp),IF(_xlpm.xr&gt;=_xlpm.ref,(_xlpm.xr-_xlpm.ref)/(_xlpm.hi-_xlpm.ref),(_xlpm.xr-_xlpm.ref)/(_xlpm.ref-_xlpm.lo)))</f>
        <v>-0.2</v>
      </c>
      <c r="K51" s="139">
        <f>_xlfn.LET(_xlpm.x,'Input Group 2'!AM22,_xlpm.ref,'Input Group 2'!G22,_xlpm.D,'Input Group 2'!S22,_xlpm.dp,IF('Input Group 2'!$E22="",3,'Input Group 2'!$E22),_xlpm.xr,ROUND(_xlpm.x,_xlpm.dp),_xlpm.lo,ROUND(_xlpm.ref-_xlpm.D,_xlpm.dp),_xlpm.hi,ROUND(_xlpm.ref+_xlpm.D,_xlpm.dp),IF(_xlpm.xr&gt;=_xlpm.ref,(_xlpm.xr-_xlpm.ref)/(_xlpm.hi-_xlpm.ref),(_xlpm.xr-_xlpm.ref)/(_xlpm.ref-_xlpm.lo)))</f>
        <v>0</v>
      </c>
    </row>
    <row r="52" spans="2:11" ht="15" customHeight="1" x14ac:dyDescent="0.3">
      <c r="B52" s="553"/>
      <c r="C52" s="238" t="str">
        <f>TRIM('Input Group 2'!B23)</f>
        <v>Testcase4</v>
      </c>
      <c r="D52" s="134" t="str">
        <f>'Input Group 2'!C23</f>
        <v>n/a</v>
      </c>
      <c r="E52" s="135">
        <f>'Input Group 2'!D23</f>
        <v>1000</v>
      </c>
      <c r="F52" s="136" t="s">
        <v>0</v>
      </c>
      <c r="G52" s="137">
        <f>_xlfn.LET(_xlpm.x,'Input Group 2'!V23,_xlpm.ref,'Input Group 2'!F23,_xlpm.D,'Input Group 2'!O23,_xlpm.dp,IF('Input Group 2'!$E23="",3,'Input Group 2'!$E23),_xlpm.xr,ROUND(_xlpm.x,_xlpm.dp),_xlpm.lo,ROUND(_xlpm.ref-_xlpm.D,_xlpm.dp),_xlpm.hi,ROUND(_xlpm.ref+_xlpm.D,_xlpm.dp),IF(_xlpm.xr&gt;=_xlpm.ref,(_xlpm.xr-_xlpm.ref)/(_xlpm.hi-_xlpm.ref),(_xlpm.xr-_xlpm.ref)/(_xlpm.ref-_xlpm.lo)))</f>
        <v>0</v>
      </c>
      <c r="H52" s="281">
        <f>_xlfn.LET(_xlpm.x,'Input Group 2'!Z23,_xlpm.ref,'Input Group 2'!F23,_xlpm.D,'Input Group 2'!O23,_xlpm.dp,IF('Input Group 2'!$E23="",3,'Input Group 2'!$E23),_xlpm.xr,ROUND(_xlpm.x,_xlpm.dp),_xlpm.lo,ROUND(_xlpm.ref-_xlpm.D,_xlpm.dp),_xlpm.hi,ROUND(_xlpm.ref+_xlpm.D,_xlpm.dp),IF(_xlpm.xr&gt;=_xlpm.ref,(_xlpm.xr-_xlpm.ref)/(_xlpm.hi-_xlpm.ref),(_xlpm.xr-_xlpm.ref)/(_xlpm.ref-_xlpm.lo)))</f>
        <v>-1</v>
      </c>
      <c r="I52" s="137">
        <f>_xlfn.LET(_xlpm.x,'Input Group 2'!AD23,_xlpm.ref,'Input Group 2'!F23,_xlpm.D,'Input Group 2'!O23,_xlpm.dp,IF('Input Group 2'!$E23="",3,'Input Group 2'!$E23),_xlpm.xr,ROUND(_xlpm.x,_xlpm.dp),_xlpm.lo,ROUND(_xlpm.ref-_xlpm.D,_xlpm.dp),_xlpm.hi,ROUND(_xlpm.ref+_xlpm.D,_xlpm.dp),IF(_xlpm.xr&gt;=_xlpm.ref,(_xlpm.xr-_xlpm.ref)/(_xlpm.hi-_xlpm.ref),(_xlpm.xr-_xlpm.ref)/(_xlpm.ref-_xlpm.lo)))</f>
        <v>0</v>
      </c>
      <c r="J52" s="177">
        <f>_xlfn.LET(_xlpm.x,'Input Group 2'!AH23,_xlpm.ref,'Input Group 2'!F23,_xlpm.D,'Input Group 2'!O23,_xlpm.dp,IF('Input Group 2'!$E23="",3,'Input Group 2'!$E23),_xlpm.xr,ROUND(_xlpm.x,_xlpm.dp),_xlpm.lo,ROUND(_xlpm.ref-_xlpm.D,_xlpm.dp),_xlpm.hi,ROUND(_xlpm.ref+_xlpm.D,_xlpm.dp),IF(_xlpm.xr&gt;=_xlpm.ref,(_xlpm.xr-_xlpm.ref)/(_xlpm.hi-_xlpm.ref),(_xlpm.xr-_xlpm.ref)/(_xlpm.ref-_xlpm.lo)))</f>
        <v>0</v>
      </c>
      <c r="K52" s="215">
        <f>_xlfn.LET(_xlpm.x,'Input Group 2'!AL23,_xlpm.ref,'Input Group 2'!F23,_xlpm.D,'Input Group 2'!O23,_xlpm.dp,IF('Input Group 2'!$E23="",3,'Input Group 2'!$E23),_xlpm.xr,ROUND(_xlpm.x,_xlpm.dp),_xlpm.lo,ROUND(_xlpm.ref-_xlpm.D,_xlpm.dp),_xlpm.hi,ROUND(_xlpm.ref+_xlpm.D,_xlpm.dp),IF(_xlpm.xr&gt;=_xlpm.ref,(_xlpm.xr-_xlpm.ref)/(_xlpm.hi-_xlpm.ref),(_xlpm.xr-_xlpm.ref)/(_xlpm.ref-_xlpm.lo)))</f>
        <v>-1</v>
      </c>
    </row>
    <row r="53" spans="2:11" ht="15" customHeight="1" x14ac:dyDescent="0.3">
      <c r="B53" s="553"/>
      <c r="C53" s="238" t="str">
        <f>TRIM('Input Group 2'!B23)</f>
        <v>Testcase4</v>
      </c>
      <c r="D53" s="134" t="str">
        <f>'Input Group 2'!C23</f>
        <v>n/a</v>
      </c>
      <c r="E53" s="135">
        <f>'Input Group 2'!D23</f>
        <v>1000</v>
      </c>
      <c r="F53" s="136" t="s">
        <v>1</v>
      </c>
      <c r="G53" s="284">
        <f>_xlfn.LET(_xlpm.x,'Input Group 2'!W23,_xlpm.ref,'Input Group 2'!G23,_xlpm.D,'Input Group 2'!S23,_xlpm.dp,IF('Input Group 2'!$E23="",3,'Input Group 2'!$E23),_xlpm.xr,ROUND(_xlpm.x,_xlpm.dp),_xlpm.lo,ROUND(_xlpm.ref-_xlpm.D,_xlpm.dp),_xlpm.hi,ROUND(_xlpm.ref+_xlpm.D,_xlpm.dp),IF(_xlpm.xr&gt;=_xlpm.ref,(_xlpm.xr-_xlpm.ref)/(_xlpm.hi-_xlpm.ref),(_xlpm.xr-_xlpm.ref)/(_xlpm.ref-_xlpm.lo)))</f>
        <v>-0.8</v>
      </c>
      <c r="H53" s="285">
        <f>_xlfn.LET(_xlpm.x,'Input Group 2'!AA23,_xlpm.ref,'Input Group 2'!G23,_xlpm.D,'Input Group 2'!S23,_xlpm.dp,IF('Input Group 2'!$E23="",3,'Input Group 2'!$E23),_xlpm.xr,ROUND(_xlpm.x,_xlpm.dp),_xlpm.lo,ROUND(_xlpm.ref-_xlpm.D,_xlpm.dp),_xlpm.hi,ROUND(_xlpm.ref+_xlpm.D,_xlpm.dp),IF(_xlpm.xr&gt;=_xlpm.ref,(_xlpm.xr-_xlpm.ref)/(_xlpm.hi-_xlpm.ref),(_xlpm.xr-_xlpm.ref)/(_xlpm.ref-_xlpm.lo)))</f>
        <v>-1.4</v>
      </c>
      <c r="I53" s="137">
        <f>_xlfn.LET(_xlpm.x,'Input Group 2'!AE23,_xlpm.ref,'Input Group 2'!G23,_xlpm.D,'Input Group 2'!S23,_xlpm.dp,IF('Input Group 2'!$E23="",3,'Input Group 2'!$E23),_xlpm.xr,ROUND(_xlpm.x,_xlpm.dp),_xlpm.lo,ROUND(_xlpm.ref-_xlpm.D,_xlpm.dp),_xlpm.hi,ROUND(_xlpm.ref+_xlpm.D,_xlpm.dp),IF(_xlpm.xr&gt;=_xlpm.ref,(_xlpm.xr-_xlpm.ref)/(_xlpm.hi-_xlpm.ref),(_xlpm.xr-_xlpm.ref)/(_xlpm.ref-_xlpm.lo)))</f>
        <v>0</v>
      </c>
      <c r="J53" s="286">
        <f>_xlfn.LET(_xlpm.x,'Input Group 2'!AI23,_xlpm.ref,'Input Group 2'!G23,_xlpm.D,'Input Group 2'!S23,_xlpm.dp,IF('Input Group 2'!$E23="",3,'Input Group 2'!$E23),_xlpm.xr,ROUND(_xlpm.x,_xlpm.dp),_xlpm.lo,ROUND(_xlpm.ref-_xlpm.D,_xlpm.dp),_xlpm.hi,ROUND(_xlpm.ref+_xlpm.D,_xlpm.dp),IF(_xlpm.xr&gt;=_xlpm.ref,(_xlpm.xr-_xlpm.ref)/(_xlpm.hi-_xlpm.ref),(_xlpm.xr-_xlpm.ref)/(_xlpm.ref-_xlpm.lo)))</f>
        <v>-0.4</v>
      </c>
      <c r="K53" s="139">
        <f>_xlfn.LET(_xlpm.x,'Input Group 2'!AM23,_xlpm.ref,'Input Group 2'!G23,_xlpm.D,'Input Group 2'!S23,_xlpm.dp,IF('Input Group 2'!$E23="",3,'Input Group 2'!$E23),_xlpm.xr,ROUND(_xlpm.x,_xlpm.dp),_xlpm.lo,ROUND(_xlpm.ref-_xlpm.D,_xlpm.dp),_xlpm.hi,ROUND(_xlpm.ref+_xlpm.D,_xlpm.dp),IF(_xlpm.xr&gt;=_xlpm.ref,(_xlpm.xr-_xlpm.ref)/(_xlpm.hi-_xlpm.ref),(_xlpm.xr-_xlpm.ref)/(_xlpm.ref-_xlpm.lo)))</f>
        <v>0</v>
      </c>
    </row>
    <row r="54" spans="2:11" ht="15" customHeight="1" x14ac:dyDescent="0.3">
      <c r="B54" s="553"/>
      <c r="C54" s="247" t="str">
        <f>TRIM('Input Group 2'!B24)</f>
        <v>Testcase4</v>
      </c>
      <c r="D54" s="119" t="str">
        <f>'Input Group 2'!C24</f>
        <v>n/a</v>
      </c>
      <c r="E54" s="120">
        <f>'Input Group 2'!D24</f>
        <v>5000</v>
      </c>
      <c r="F54" s="121" t="s">
        <v>0</v>
      </c>
      <c r="G54" s="281">
        <f>_xlfn.LET(_xlpm.x,'Input Group 2'!V24,_xlpm.ref,'Input Group 2'!F24,_xlpm.D,'Input Group 2'!O24,_xlpm.dp,IF('Input Group 2'!$E24="",3,'Input Group 2'!$E24),_xlpm.xr,ROUND(_xlpm.x,_xlpm.dp),_xlpm.lo,ROUND(_xlpm.ref-_xlpm.D,_xlpm.dp),_xlpm.hi,ROUND(_xlpm.ref+_xlpm.D,_xlpm.dp),IF(_xlpm.xr&gt;=_xlpm.ref,(_xlpm.xr-_xlpm.ref)/(_xlpm.hi-_xlpm.ref),(_xlpm.xr-_xlpm.ref)/(_xlpm.ref-_xlpm.lo)))</f>
        <v>-2</v>
      </c>
      <c r="H54" s="287">
        <f>_xlfn.LET(_xlpm.x,'Input Group 2'!Z24,_xlpm.ref,'Input Group 2'!F24,_xlpm.D,'Input Group 2'!O24,_xlpm.dp,IF('Input Group 2'!$E24="",3,'Input Group 2'!$E24),_xlpm.xr,ROUND(_xlpm.x,_xlpm.dp),_xlpm.lo,ROUND(_xlpm.ref-_xlpm.D,_xlpm.dp),_xlpm.hi,ROUND(_xlpm.ref+_xlpm.D,_xlpm.dp),IF(_xlpm.xr&gt;=_xlpm.ref,(_xlpm.xr-_xlpm.ref)/(_xlpm.hi-_xlpm.ref),(_xlpm.xr-_xlpm.ref)/(_xlpm.ref-_xlpm.lo)))</f>
        <v>-2</v>
      </c>
      <c r="I54" s="281">
        <f>_xlfn.LET(_xlpm.x,'Input Group 2'!AD24,_xlpm.ref,'Input Group 2'!F24,_xlpm.D,'Input Group 2'!O24,_xlpm.dp,IF('Input Group 2'!$E24="",3,'Input Group 2'!$E24),_xlpm.xr,ROUND(_xlpm.x,_xlpm.dp),_xlpm.lo,ROUND(_xlpm.ref-_xlpm.D,_xlpm.dp),_xlpm.hi,ROUND(_xlpm.ref+_xlpm.D,_xlpm.dp),IF(_xlpm.xr&gt;=_xlpm.ref,(_xlpm.xr-_xlpm.ref)/(_xlpm.hi-_xlpm.ref),(_xlpm.xr-_xlpm.ref)/(_xlpm.ref-_xlpm.lo)))</f>
        <v>1</v>
      </c>
      <c r="J54" s="122">
        <f>_xlfn.LET(_xlpm.x,'Input Group 2'!AH24,_xlpm.ref,'Input Group 2'!F24,_xlpm.D,'Input Group 2'!O24,_xlpm.dp,IF('Input Group 2'!$E24="",3,'Input Group 2'!$E24),_xlpm.xr,ROUND(_xlpm.x,_xlpm.dp),_xlpm.lo,ROUND(_xlpm.ref-_xlpm.D,_xlpm.dp),_xlpm.hi,ROUND(_xlpm.ref+_xlpm.D,_xlpm.dp),IF(_xlpm.xr&gt;=_xlpm.ref,(_xlpm.xr-_xlpm.ref)/(_xlpm.hi-_xlpm.ref),(_xlpm.xr-_xlpm.ref)/(_xlpm.ref-_xlpm.lo)))</f>
        <v>0</v>
      </c>
      <c r="K54" s="282">
        <f>_xlfn.LET(_xlpm.x,'Input Group 2'!AL24,_xlpm.ref,'Input Group 2'!F24,_xlpm.D,'Input Group 2'!O24,_xlpm.dp,IF('Input Group 2'!$E24="",3,'Input Group 2'!$E24),_xlpm.xr,ROUND(_xlpm.x,_xlpm.dp),_xlpm.lo,ROUND(_xlpm.ref-_xlpm.D,_xlpm.dp),_xlpm.hi,ROUND(_xlpm.ref+_xlpm.D,_xlpm.dp),IF(_xlpm.xr&gt;=_xlpm.ref,(_xlpm.xr-_xlpm.ref)/(_xlpm.hi-_xlpm.ref),(_xlpm.xr-_xlpm.ref)/(_xlpm.ref-_xlpm.lo)))</f>
        <v>-2</v>
      </c>
    </row>
    <row r="55" spans="2:11" ht="15" customHeight="1" x14ac:dyDescent="0.3">
      <c r="B55" s="553"/>
      <c r="C55" s="247" t="str">
        <f>TRIM('Input Group 2'!B24)</f>
        <v>Testcase4</v>
      </c>
      <c r="D55" s="119" t="str">
        <f>'Input Group 2'!C24</f>
        <v>n/a</v>
      </c>
      <c r="E55" s="120">
        <f>'Input Group 2'!D24</f>
        <v>5000</v>
      </c>
      <c r="F55" s="121" t="s">
        <v>1</v>
      </c>
      <c r="G55" s="288">
        <f>_xlfn.LET(_xlpm.x,'Input Group 2'!W24,_xlpm.ref,'Input Group 2'!G24,_xlpm.D,'Input Group 2'!S24,_xlpm.dp,IF('Input Group 2'!$E24="",3,'Input Group 2'!$E24),_xlpm.xr,ROUND(_xlpm.x,_xlpm.dp),_xlpm.lo,ROUND(_xlpm.ref-_xlpm.D,_xlpm.dp),_xlpm.hi,ROUND(_xlpm.ref+_xlpm.D,_xlpm.dp),IF(_xlpm.xr&gt;=_xlpm.ref,(_xlpm.xr-_xlpm.ref)/(_xlpm.hi-_xlpm.ref),(_xlpm.xr-_xlpm.ref)/(_xlpm.ref-_xlpm.lo)))</f>
        <v>-1.6</v>
      </c>
      <c r="H55" s="289">
        <f>_xlfn.LET(_xlpm.x,'Input Group 2'!AA24,_xlpm.ref,'Input Group 2'!G24,_xlpm.D,'Input Group 2'!S24,_xlpm.dp,IF('Input Group 2'!$E24="",3,'Input Group 2'!$E24),_xlpm.xr,ROUND(_xlpm.x,_xlpm.dp),_xlpm.lo,ROUND(_xlpm.ref-_xlpm.D,_xlpm.dp),_xlpm.hi,ROUND(_xlpm.ref+_xlpm.D,_xlpm.dp),IF(_xlpm.xr&gt;=_xlpm.ref,(_xlpm.xr-_xlpm.ref)/(_xlpm.hi-_xlpm.ref),(_xlpm.xr-_xlpm.ref)/(_xlpm.ref-_xlpm.lo)))</f>
        <v>-1.4</v>
      </c>
      <c r="I55" s="284">
        <f>_xlfn.LET(_xlpm.x,'Input Group 2'!AE24,_xlpm.ref,'Input Group 2'!G24,_xlpm.D,'Input Group 2'!S24,_xlpm.dp,IF('Input Group 2'!$E24="",3,'Input Group 2'!$E24),_xlpm.xr,ROUND(_xlpm.x,_xlpm.dp),_xlpm.lo,ROUND(_xlpm.ref-_xlpm.D,_xlpm.dp),_xlpm.hi,ROUND(_xlpm.ref+_xlpm.D,_xlpm.dp),IF(_xlpm.xr&gt;=_xlpm.ref,(_xlpm.xr-_xlpm.ref)/(_xlpm.hi-_xlpm.ref),(_xlpm.xr-_xlpm.ref)/(_xlpm.ref-_xlpm.lo)))</f>
        <v>-0.8</v>
      </c>
      <c r="J55" s="122">
        <f>_xlfn.LET(_xlpm.x,'Input Group 2'!AI24,_xlpm.ref,'Input Group 2'!G24,_xlpm.D,'Input Group 2'!S24,_xlpm.dp,IF('Input Group 2'!$E24="",3,'Input Group 2'!$E24),_xlpm.xr,ROUND(_xlpm.x,_xlpm.dp),_xlpm.lo,ROUND(_xlpm.ref-_xlpm.D,_xlpm.dp),_xlpm.hi,ROUND(_xlpm.ref+_xlpm.D,_xlpm.dp),IF(_xlpm.xr&gt;=_xlpm.ref,(_xlpm.xr-_xlpm.ref)/(_xlpm.hi-_xlpm.ref),(_xlpm.xr-_xlpm.ref)/(_xlpm.ref-_xlpm.lo)))</f>
        <v>-0.4</v>
      </c>
      <c r="K55" s="290">
        <f>_xlfn.LET(_xlpm.x,'Input Group 2'!AM24,_xlpm.ref,'Input Group 2'!G24,_xlpm.D,'Input Group 2'!S24,_xlpm.dp,IF('Input Group 2'!$E24="",3,'Input Group 2'!$E24),_xlpm.xr,ROUND(_xlpm.x,_xlpm.dp),_xlpm.lo,ROUND(_xlpm.ref-_xlpm.D,_xlpm.dp),_xlpm.hi,ROUND(_xlpm.ref+_xlpm.D,_xlpm.dp),IF(_xlpm.xr&gt;=_xlpm.ref,(_xlpm.xr-_xlpm.ref)/(_xlpm.hi-_xlpm.ref),(_xlpm.xr-_xlpm.ref)/(_xlpm.ref-_xlpm.lo)))</f>
        <v>-1.4</v>
      </c>
    </row>
    <row r="56" spans="2:11" ht="15" customHeight="1" x14ac:dyDescent="0.3">
      <c r="B56" s="553"/>
      <c r="C56" s="238" t="str">
        <f>TRIM('Input Group 2'!B25)</f>
        <v>Testcase4</v>
      </c>
      <c r="D56" s="134" t="str">
        <f>'Input Group 2'!C25</f>
        <v>n/a</v>
      </c>
      <c r="E56" s="135">
        <f>'Input Group 2'!D25</f>
        <v>10000</v>
      </c>
      <c r="F56" s="136" t="s">
        <v>0</v>
      </c>
      <c r="G56" s="137">
        <f>_xlfn.LET(_xlpm.x,'Input Group 2'!V25,_xlpm.ref,'Input Group 2'!F25,_xlpm.D,'Input Group 2'!O25,_xlpm.dp,IF('Input Group 2'!$E25="",3,'Input Group 2'!$E25),_xlpm.xr,ROUND(_xlpm.x,_xlpm.dp),_xlpm.lo,ROUND(_xlpm.ref-_xlpm.D,_xlpm.dp),_xlpm.hi,ROUND(_xlpm.ref+_xlpm.D,_xlpm.dp),IF(_xlpm.xr&gt;=_xlpm.ref,(_xlpm.xr-_xlpm.ref)/(_xlpm.hi-_xlpm.ref),(_xlpm.xr-_xlpm.ref)/(_xlpm.ref-_xlpm.lo)))</f>
        <v>0</v>
      </c>
      <c r="H56" s="281">
        <f>_xlfn.LET(_xlpm.x,'Input Group 2'!Z25,_xlpm.ref,'Input Group 2'!F25,_xlpm.D,'Input Group 2'!O25,_xlpm.dp,IF('Input Group 2'!$E25="",3,'Input Group 2'!$E25),_xlpm.xr,ROUND(_xlpm.x,_xlpm.dp),_xlpm.lo,ROUND(_xlpm.ref-_xlpm.D,_xlpm.dp),_xlpm.hi,ROUND(_xlpm.ref+_xlpm.D,_xlpm.dp),IF(_xlpm.xr&gt;=_xlpm.ref,(_xlpm.xr-_xlpm.ref)/(_xlpm.hi-_xlpm.ref),(_xlpm.xr-_xlpm.ref)/(_xlpm.ref-_xlpm.lo)))</f>
        <v>-1</v>
      </c>
      <c r="I56" s="281">
        <f>_xlfn.LET(_xlpm.x,'Input Group 2'!AD25,_xlpm.ref,'Input Group 2'!F25,_xlpm.D,'Input Group 2'!O25,_xlpm.dp,IF('Input Group 2'!$E25="",3,'Input Group 2'!$E25),_xlpm.xr,ROUND(_xlpm.x,_xlpm.dp),_xlpm.lo,ROUND(_xlpm.ref-_xlpm.D,_xlpm.dp),_xlpm.hi,ROUND(_xlpm.ref+_xlpm.D,_xlpm.dp),IF(_xlpm.xr&gt;=_xlpm.ref,(_xlpm.xr-_xlpm.ref)/(_xlpm.hi-_xlpm.ref),(_xlpm.xr-_xlpm.ref)/(_xlpm.ref-_xlpm.lo)))</f>
        <v>0</v>
      </c>
      <c r="J56" s="137">
        <f>_xlfn.LET(_xlpm.x,'Input Group 2'!AH25,_xlpm.ref,'Input Group 2'!F25,_xlpm.D,'Input Group 2'!O25,_xlpm.dp,IF('Input Group 2'!$E25="",3,'Input Group 2'!$E25),_xlpm.xr,ROUND(_xlpm.x,_xlpm.dp),_xlpm.lo,ROUND(_xlpm.ref-_xlpm.D,_xlpm.dp),_xlpm.hi,ROUND(_xlpm.ref+_xlpm.D,_xlpm.dp),IF(_xlpm.xr&gt;=_xlpm.ref,(_xlpm.xr-_xlpm.ref)/(_xlpm.hi-_xlpm.ref),(_xlpm.xr-_xlpm.ref)/(_xlpm.ref-_xlpm.lo)))</f>
        <v>0</v>
      </c>
      <c r="K56" s="139">
        <f>_xlfn.LET(_xlpm.x,'Input Group 2'!AL25,_xlpm.ref,'Input Group 2'!F25,_xlpm.D,'Input Group 2'!O25,_xlpm.dp,IF('Input Group 2'!$E25="",3,'Input Group 2'!$E25),_xlpm.xr,ROUND(_xlpm.x,_xlpm.dp),_xlpm.lo,ROUND(_xlpm.ref-_xlpm.D,_xlpm.dp),_xlpm.hi,ROUND(_xlpm.ref+_xlpm.D,_xlpm.dp),IF(_xlpm.xr&gt;=_xlpm.ref,(_xlpm.xr-_xlpm.ref)/(_xlpm.hi-_xlpm.ref),(_xlpm.xr-_xlpm.ref)/(_xlpm.ref-_xlpm.lo)))</f>
        <v>0</v>
      </c>
    </row>
    <row r="57" spans="2:11" ht="15" customHeight="1" x14ac:dyDescent="0.3">
      <c r="B57" s="553"/>
      <c r="C57" s="238" t="str">
        <f>TRIM('Input Group 2'!B25)</f>
        <v>Testcase4</v>
      </c>
      <c r="D57" s="134" t="str">
        <f>'Input Group 2'!C25</f>
        <v>n/a</v>
      </c>
      <c r="E57" s="135">
        <f>'Input Group 2'!D25</f>
        <v>10000</v>
      </c>
      <c r="F57" s="136" t="s">
        <v>1</v>
      </c>
      <c r="G57" s="284">
        <f>_xlfn.LET(_xlpm.x,'Input Group 2'!W25,_xlpm.ref,'Input Group 2'!G25,_xlpm.D,'Input Group 2'!S25,_xlpm.dp,IF('Input Group 2'!$E25="",3,'Input Group 2'!$E25),_xlpm.xr,ROUND(_xlpm.x,_xlpm.dp),_xlpm.lo,ROUND(_xlpm.ref-_xlpm.D,_xlpm.dp),_xlpm.hi,ROUND(_xlpm.ref+_xlpm.D,_xlpm.dp),IF(_xlpm.xr&gt;=_xlpm.ref,(_xlpm.xr-_xlpm.ref)/(_xlpm.hi-_xlpm.ref),(_xlpm.xr-_xlpm.ref)/(_xlpm.ref-_xlpm.lo)))</f>
        <v>-0.8</v>
      </c>
      <c r="H57" s="291">
        <f>_xlfn.LET(_xlpm.x,'Input Group 2'!AA25,_xlpm.ref,'Input Group 2'!G25,_xlpm.D,'Input Group 2'!S25,_xlpm.dp,IF('Input Group 2'!$E25="",3,'Input Group 2'!$E25),_xlpm.xr,ROUND(_xlpm.x,_xlpm.dp),_xlpm.lo,ROUND(_xlpm.ref-_xlpm.D,_xlpm.dp),_xlpm.hi,ROUND(_xlpm.ref+_xlpm.D,_xlpm.dp),IF(_xlpm.xr&gt;=_xlpm.ref,(_xlpm.xr-_xlpm.ref)/(_xlpm.hi-_xlpm.ref),(_xlpm.xr-_xlpm.ref)/(_xlpm.ref-_xlpm.lo)))</f>
        <v>-1</v>
      </c>
      <c r="I57" s="144">
        <f>_xlfn.LET(_xlpm.x,'Input Group 2'!AE25,_xlpm.ref,'Input Group 2'!G25,_xlpm.D,'Input Group 2'!S25,_xlpm.dp,IF('Input Group 2'!$E25="",3,'Input Group 2'!$E25),_xlpm.xr,ROUND(_xlpm.x,_xlpm.dp),_xlpm.lo,ROUND(_xlpm.ref-_xlpm.D,_xlpm.dp),_xlpm.hi,ROUND(_xlpm.ref+_xlpm.D,_xlpm.dp),IF(_xlpm.xr&gt;=_xlpm.ref,(_xlpm.xr-_xlpm.ref)/(_xlpm.hi-_xlpm.ref),(_xlpm.xr-_xlpm.ref)/(_xlpm.ref-_xlpm.lo)))</f>
        <v>-0.4</v>
      </c>
      <c r="J57" s="292">
        <f>_xlfn.LET(_xlpm.x,'Input Group 2'!AI25,_xlpm.ref,'Input Group 2'!G25,_xlpm.D,'Input Group 2'!S25,_xlpm.dp,IF('Input Group 2'!$E25="",3,'Input Group 2'!$E25),_xlpm.xr,ROUND(_xlpm.x,_xlpm.dp),_xlpm.lo,ROUND(_xlpm.ref-_xlpm.D,_xlpm.dp),_xlpm.hi,ROUND(_xlpm.ref+_xlpm.D,_xlpm.dp),IF(_xlpm.xr&gt;=_xlpm.ref,(_xlpm.xr-_xlpm.ref)/(_xlpm.hi-_xlpm.ref),(_xlpm.xr-_xlpm.ref)/(_xlpm.ref-_xlpm.lo)))</f>
        <v>-0.2</v>
      </c>
      <c r="K57" s="150">
        <f>_xlfn.LET(_xlpm.x,'Input Group 2'!AM25,_xlpm.ref,'Input Group 2'!G25,_xlpm.D,'Input Group 2'!S25,_xlpm.dp,IF('Input Group 2'!$E25="",3,'Input Group 2'!$E25),_xlpm.xr,ROUND(_xlpm.x,_xlpm.dp),_xlpm.lo,ROUND(_xlpm.ref-_xlpm.D,_xlpm.dp),_xlpm.hi,ROUND(_xlpm.ref+_xlpm.D,_xlpm.dp),IF(_xlpm.xr&gt;=_xlpm.ref,(_xlpm.xr-_xlpm.ref)/(_xlpm.hi-_xlpm.ref),(_xlpm.xr-_xlpm.ref)/(_xlpm.ref-_xlpm.lo)))</f>
        <v>-0.6</v>
      </c>
    </row>
    <row r="58" spans="2:11" ht="15" customHeight="1" x14ac:dyDescent="0.3">
      <c r="B58" s="553"/>
      <c r="C58" s="293" t="str">
        <f>TRIM('Input Group 2'!B26)</f>
        <v>Testcase4</v>
      </c>
      <c r="D58" s="294" t="str">
        <f>'Input Group 2'!C26</f>
        <v>n/a</v>
      </c>
      <c r="E58" s="120">
        <f>'Input Group 2'!D26</f>
        <v>100000</v>
      </c>
      <c r="F58" s="121" t="s">
        <v>0</v>
      </c>
      <c r="G58" s="137">
        <f>_xlfn.LET(_xlpm.x,'Input Group 2'!V26,_xlpm.ref,'Input Group 2'!F26,_xlpm.D,'Input Group 2'!O26,_xlpm.dp,IF('Input Group 2'!$E26="",3,'Input Group 2'!$E26),_xlpm.xr,ROUND(_xlpm.x,_xlpm.dp),_xlpm.lo,ROUND(_xlpm.ref-_xlpm.D,_xlpm.dp),_xlpm.hi,ROUND(_xlpm.ref+_xlpm.D,_xlpm.dp),IF(_xlpm.xr&gt;=_xlpm.ref,(_xlpm.xr-_xlpm.ref)/(_xlpm.hi-_xlpm.ref),(_xlpm.xr-_xlpm.ref)/(_xlpm.ref-_xlpm.lo)))</f>
        <v>0</v>
      </c>
      <c r="H58" s="137">
        <f>_xlfn.LET(_xlpm.x,'Input Group 2'!Z26,_xlpm.ref,'Input Group 2'!F26,_xlpm.D,'Input Group 2'!O26,_xlpm.dp,IF('Input Group 2'!$E26="",3,'Input Group 2'!$E26),_xlpm.xr,ROUND(_xlpm.x,_xlpm.dp),_xlpm.lo,ROUND(_xlpm.ref-_xlpm.D,_xlpm.dp),_xlpm.hi,ROUND(_xlpm.ref+_xlpm.D,_xlpm.dp),IF(_xlpm.xr&gt;=_xlpm.ref,(_xlpm.xr-_xlpm.ref)/(_xlpm.hi-_xlpm.ref),(_xlpm.xr-_xlpm.ref)/(_xlpm.ref-_xlpm.lo)))</f>
        <v>0</v>
      </c>
      <c r="I58" s="137">
        <f>_xlfn.LET(_xlpm.x,'Input Group 2'!AD26,_xlpm.ref,'Input Group 2'!F26,_xlpm.D,'Input Group 2'!O26,_xlpm.dp,IF('Input Group 2'!$E26="",3,'Input Group 2'!$E26),_xlpm.xr,ROUND(_xlpm.x,_xlpm.dp),_xlpm.lo,ROUND(_xlpm.ref-_xlpm.D,_xlpm.dp),_xlpm.hi,ROUND(_xlpm.ref+_xlpm.D,_xlpm.dp),IF(_xlpm.xr&gt;=_xlpm.ref,(_xlpm.xr-_xlpm.ref)/(_xlpm.hi-_xlpm.ref),(_xlpm.xr-_xlpm.ref)/(_xlpm.ref-_xlpm.lo)))</f>
        <v>0</v>
      </c>
      <c r="J58" s="177">
        <f>_xlfn.LET(_xlpm.x,'Input Group 2'!AH26,_xlpm.ref,'Input Group 2'!F26,_xlpm.D,'Input Group 2'!O26,_xlpm.dp,IF('Input Group 2'!$E26="",3,'Input Group 2'!$E26),_xlpm.xr,ROUND(_xlpm.x,_xlpm.dp),_xlpm.lo,ROUND(_xlpm.ref-_xlpm.D,_xlpm.dp),_xlpm.hi,ROUND(_xlpm.ref+_xlpm.D,_xlpm.dp),IF(_xlpm.xr&gt;=_xlpm.ref,(_xlpm.xr-_xlpm.ref)/(_xlpm.hi-_xlpm.ref),(_xlpm.xr-_xlpm.ref)/(_xlpm.ref-_xlpm.lo)))</f>
        <v>0</v>
      </c>
      <c r="K58" s="139">
        <f>_xlfn.LET(_xlpm.x,'Input Group 2'!AL26,_xlpm.ref,'Input Group 2'!F26,_xlpm.D,'Input Group 2'!O26,_xlpm.dp,IF('Input Group 2'!$E26="",3,'Input Group 2'!$E26),_xlpm.xr,ROUND(_xlpm.x,_xlpm.dp),_xlpm.lo,ROUND(_xlpm.ref-_xlpm.D,_xlpm.dp),_xlpm.hi,ROUND(_xlpm.ref+_xlpm.D,_xlpm.dp),IF(_xlpm.xr&gt;=_xlpm.ref,(_xlpm.xr-_xlpm.ref)/(_xlpm.hi-_xlpm.ref),(_xlpm.xr-_xlpm.ref)/(_xlpm.ref-_xlpm.lo)))</f>
        <v>0</v>
      </c>
    </row>
    <row r="59" spans="2:11" ht="15" customHeight="1" thickBot="1" x14ac:dyDescent="0.35">
      <c r="B59" s="553"/>
      <c r="C59" s="295" t="str">
        <f>TRIM('Input Group 2'!B26)</f>
        <v>Testcase4</v>
      </c>
      <c r="D59" s="296" t="str">
        <f>'Input Group 2'!C26</f>
        <v>n/a</v>
      </c>
      <c r="E59" s="297">
        <f>'Input Group 2'!D26</f>
        <v>100000</v>
      </c>
      <c r="F59" s="121" t="s">
        <v>1</v>
      </c>
      <c r="G59" s="298">
        <f>_xlfn.LET(_xlpm.x,'Input Group 2'!W26,_xlpm.ref,'Input Group 2'!G26,_xlpm.D,'Input Group 2'!S26,_xlpm.dp,IF('Input Group 2'!$E26="",3,'Input Group 2'!$E26),_xlpm.xr,ROUND(_xlpm.x,_xlpm.dp),_xlpm.lo,ROUND(_xlpm.ref-_xlpm.D,_xlpm.dp),_xlpm.hi,ROUND(_xlpm.ref+_xlpm.D,_xlpm.dp),IF(_xlpm.xr&gt;=_xlpm.ref,(_xlpm.xr-_xlpm.ref)/(_xlpm.hi-_xlpm.ref),(_xlpm.xr-_xlpm.ref)/(_xlpm.ref-_xlpm.lo)))</f>
        <v>0</v>
      </c>
      <c r="H59" s="299">
        <f>_xlfn.LET(_xlpm.x,'Input Group 2'!AA26,_xlpm.ref,'Input Group 2'!G26,_xlpm.D,'Input Group 2'!S26,_xlpm.dp,IF('Input Group 2'!$E26="",3,'Input Group 2'!$E26),_xlpm.xr,ROUND(_xlpm.x,_xlpm.dp),_xlpm.lo,ROUND(_xlpm.ref-_xlpm.D,_xlpm.dp),_xlpm.hi,ROUND(_xlpm.ref+_xlpm.D,_xlpm.dp),IF(_xlpm.xr&gt;=_xlpm.ref,(_xlpm.xr-_xlpm.ref)/(_xlpm.hi-_xlpm.ref),(_xlpm.xr-_xlpm.ref)/(_xlpm.ref-_xlpm.lo)))</f>
        <v>0</v>
      </c>
      <c r="I59" s="298">
        <f>_xlfn.LET(_xlpm.x,'Input Group 2'!AE26,_xlpm.ref,'Input Group 2'!G26,_xlpm.D,'Input Group 2'!S26,_xlpm.dp,IF('Input Group 2'!$E26="",3,'Input Group 2'!$E26),_xlpm.xr,ROUND(_xlpm.x,_xlpm.dp),_xlpm.lo,ROUND(_xlpm.ref-_xlpm.D,_xlpm.dp),_xlpm.hi,ROUND(_xlpm.ref+_xlpm.D,_xlpm.dp),IF(_xlpm.xr&gt;=_xlpm.ref,(_xlpm.xr-_xlpm.ref)/(_xlpm.hi-_xlpm.ref),(_xlpm.xr-_xlpm.ref)/(_xlpm.ref-_xlpm.lo)))</f>
        <v>0</v>
      </c>
      <c r="J59" s="300">
        <f>_xlfn.LET(_xlpm.x,'Input Group 2'!AI26,_xlpm.ref,'Input Group 2'!G26,_xlpm.D,'Input Group 2'!S26,_xlpm.dp,IF('Input Group 2'!$E26="",3,'Input Group 2'!$E26),_xlpm.xr,ROUND(_xlpm.x,_xlpm.dp),_xlpm.lo,ROUND(_xlpm.ref-_xlpm.D,_xlpm.dp),_xlpm.hi,ROUND(_xlpm.ref+_xlpm.D,_xlpm.dp),IF(_xlpm.xr&gt;=_xlpm.ref,(_xlpm.xr-_xlpm.ref)/(_xlpm.hi-_xlpm.ref),(_xlpm.xr-_xlpm.ref)/(_xlpm.ref-_xlpm.lo)))</f>
        <v>0</v>
      </c>
      <c r="K59" s="301">
        <f>_xlfn.LET(_xlpm.x,'Input Group 2'!AM26,_xlpm.ref,'Input Group 2'!G26,_xlpm.D,'Input Group 2'!S26,_xlpm.dp,IF('Input Group 2'!$E26="",3,'Input Group 2'!$E26),_xlpm.xr,ROUND(_xlpm.x,_xlpm.dp),_xlpm.lo,ROUND(_xlpm.ref-_xlpm.D,_xlpm.dp),_xlpm.hi,ROUND(_xlpm.ref+_xlpm.D,_xlpm.dp),IF(_xlpm.xr&gt;=_xlpm.ref,(_xlpm.xr-_xlpm.ref)/(_xlpm.hi-_xlpm.ref),(_xlpm.xr-_xlpm.ref)/(_xlpm.ref-_xlpm.lo)))</f>
        <v>0</v>
      </c>
    </row>
    <row r="60" spans="2:11" ht="15" thickTop="1" thickBot="1" x14ac:dyDescent="0.35">
      <c r="B60" s="302"/>
      <c r="E60" s="303"/>
      <c r="F60" s="304"/>
      <c r="G60" s="305"/>
      <c r="H60" s="303"/>
      <c r="I60" s="305"/>
      <c r="J60" s="305"/>
    </row>
    <row r="61" spans="2:11" ht="13.8" customHeight="1" thickTop="1" x14ac:dyDescent="0.3">
      <c r="C61" s="554" t="s">
        <v>153</v>
      </c>
      <c r="D61" s="555"/>
      <c r="E61" s="555"/>
      <c r="F61" s="555"/>
      <c r="G61" s="555"/>
      <c r="H61" s="555"/>
      <c r="I61" s="555"/>
      <c r="J61" s="555"/>
      <c r="K61" s="556"/>
    </row>
    <row r="62" spans="2:11" x14ac:dyDescent="0.3">
      <c r="C62" s="447"/>
      <c r="D62" s="448"/>
      <c r="E62" s="448"/>
      <c r="F62" s="448"/>
      <c r="G62" s="448"/>
      <c r="H62" s="448"/>
      <c r="I62" s="448"/>
      <c r="J62" s="448"/>
      <c r="K62" s="557"/>
    </row>
    <row r="63" spans="2:11" ht="14.4" thickBot="1" x14ac:dyDescent="0.35">
      <c r="C63" s="450"/>
      <c r="D63" s="451"/>
      <c r="E63" s="451"/>
      <c r="F63" s="451"/>
      <c r="G63" s="451"/>
      <c r="H63" s="451"/>
      <c r="I63" s="451"/>
      <c r="J63" s="451"/>
      <c r="K63" s="558"/>
    </row>
    <row r="64" spans="2:11" ht="15" thickTop="1" thickBot="1" x14ac:dyDescent="0.35"/>
    <row r="65" spans="3:8" ht="19.95" customHeight="1" thickTop="1" x14ac:dyDescent="0.3">
      <c r="C65" s="540" t="s">
        <v>112</v>
      </c>
      <c r="D65" s="541"/>
      <c r="E65" s="541"/>
      <c r="F65" s="541"/>
      <c r="G65" s="541"/>
      <c r="H65" s="542"/>
    </row>
    <row r="66" spans="3:8" ht="19.95" customHeight="1" x14ac:dyDescent="0.3">
      <c r="C66" s="543" t="s">
        <v>166</v>
      </c>
      <c r="D66" s="544"/>
      <c r="E66" s="544"/>
      <c r="F66" s="544"/>
      <c r="G66" s="544"/>
      <c r="H66" s="545"/>
    </row>
    <row r="67" spans="3:8" ht="19.95" customHeight="1" x14ac:dyDescent="0.3">
      <c r="C67" s="546" t="s">
        <v>165</v>
      </c>
      <c r="D67" s="547"/>
      <c r="E67" s="547"/>
      <c r="F67" s="547"/>
      <c r="G67" s="547"/>
      <c r="H67" s="548"/>
    </row>
    <row r="68" spans="3:8" ht="19.95" customHeight="1" thickBot="1" x14ac:dyDescent="0.35">
      <c r="C68" s="549" t="s">
        <v>167</v>
      </c>
      <c r="D68" s="550"/>
      <c r="E68" s="550"/>
      <c r="F68" s="550"/>
      <c r="G68" s="550"/>
      <c r="H68" s="551"/>
    </row>
    <row r="69" spans="3:8" ht="14.4" thickTop="1" x14ac:dyDescent="0.3"/>
  </sheetData>
  <mergeCells count="11">
    <mergeCell ref="C65:H65"/>
    <mergeCell ref="C66:H66"/>
    <mergeCell ref="C67:H67"/>
    <mergeCell ref="C68:H68"/>
    <mergeCell ref="B30:B59"/>
    <mergeCell ref="C61:K63"/>
    <mergeCell ref="B2:C3"/>
    <mergeCell ref="B6:B29"/>
    <mergeCell ref="C4:J4"/>
    <mergeCell ref="D2:K2"/>
    <mergeCell ref="D3:K3"/>
  </mergeCells>
  <conditionalFormatting sqref="G6:K59">
    <cfRule type="expression" dxfId="42" priority="1" stopIfTrue="1">
      <formula>NOT(ISNUMBER(G6))</formula>
    </cfRule>
    <cfRule type="expression" dxfId="41" priority="2">
      <formula>ABS(G6)&gt;1</formula>
    </cfRule>
    <cfRule type="expression" dxfId="40" priority="3" stopIfTrue="1">
      <formula>ABS(G6)&lt;=0.05</formula>
    </cfRule>
    <cfRule type="expression" dxfId="39" priority="4" stopIfTrue="1">
      <formula>AND(ABS(G6)&gt;0.05,ABS(G6)&lt;=0.1)</formula>
    </cfRule>
    <cfRule type="expression" dxfId="38" priority="5" stopIfTrue="1">
      <formula>AND(ABS(G6)&gt;0.1,ABS(G6)&lt;=0.15)</formula>
    </cfRule>
    <cfRule type="expression" dxfId="37" priority="6" stopIfTrue="1">
      <formula>AND(ABS(G6)&gt;0.15,ABS(G6)&lt;=0.2)</formula>
    </cfRule>
    <cfRule type="expression" dxfId="36" priority="7" stopIfTrue="1">
      <formula>AND(ABS(G6)&gt;0.2,ABS(G6)&lt;=0.25)</formula>
    </cfRule>
    <cfRule type="expression" dxfId="35" priority="8" stopIfTrue="1">
      <formula>AND(ABS(G6)&gt;0.25,ABS(G6)&lt;=0.3)</formula>
    </cfRule>
    <cfRule type="expression" dxfId="34" priority="9" stopIfTrue="1">
      <formula>AND(ABS(G6)&gt;0.3,ABS(G6)&lt;=0.35)</formula>
    </cfRule>
    <cfRule type="expression" dxfId="33" priority="10" stopIfTrue="1">
      <formula>AND(ABS(G6)&gt;0.35,ABS(G6)&lt;=0.4)</formula>
    </cfRule>
    <cfRule type="expression" dxfId="32" priority="11" stopIfTrue="1">
      <formula>AND(ABS(G6)&gt;0.4,ABS(G6)&lt;=0.45)</formula>
    </cfRule>
    <cfRule type="expression" dxfId="31" priority="12" stopIfTrue="1">
      <formula>AND(ABS(G6)&gt;0.45,ABS(G6)&lt;=0.5)</formula>
    </cfRule>
    <cfRule type="expression" dxfId="30" priority="13" stopIfTrue="1">
      <formula>AND(ABS(G6)&gt;0.5,ABS(G6)&lt;=0.55)</formula>
    </cfRule>
    <cfRule type="expression" dxfId="29" priority="14" stopIfTrue="1">
      <formula>AND(ABS(G6)&gt;0.55,ABS(G6)&lt;=0.6)</formula>
    </cfRule>
    <cfRule type="expression" dxfId="28" priority="15" stopIfTrue="1">
      <formula>AND(ABS(G6)&gt;0.6,ABS(G6)&lt;=0.65)</formula>
    </cfRule>
    <cfRule type="expression" dxfId="27" priority="16" stopIfTrue="1">
      <formula>AND(ABS(G6)&gt;0.65,ABS(G6)&lt;=0.7)</formula>
    </cfRule>
    <cfRule type="expression" dxfId="26" priority="17" stopIfTrue="1">
      <formula>AND(ABS(G6)&gt;0.7,ABS(G6)&lt;=0.75)</formula>
    </cfRule>
    <cfRule type="expression" dxfId="25" priority="18" stopIfTrue="1">
      <formula>AND(ABS(G6)&gt;0.75,ABS(G6)&lt;=0.8)</formula>
    </cfRule>
    <cfRule type="expression" dxfId="24" priority="19" stopIfTrue="1">
      <formula>AND(ABS(G6)&gt;0.8,ABS(G6)&lt;=0.85)</formula>
    </cfRule>
    <cfRule type="expression" dxfId="23" priority="20" stopIfTrue="1">
      <formula>AND(ABS(G6)&gt;0.85,ABS(G6)&lt;=0.9)</formula>
    </cfRule>
    <cfRule type="expression" dxfId="22" priority="21" stopIfTrue="1">
      <formula>AND(ABS(G6)&gt;0.9,ABS(G6)&lt;=0.95)</formula>
    </cfRule>
    <cfRule type="expression" dxfId="21" priority="22" stopIfTrue="1">
      <formula>AND(ABS(G6)&gt;0.95,ABS(G6)&lt;=1)</formula>
    </cfRule>
    <cfRule type="expression" dxfId="20" priority="23" stopIfTrue="1">
      <formula>AND(ABS(G6)&gt;1,ABS(G6)&lt;=1.05)</formula>
    </cfRule>
    <cfRule type="expression" dxfId="19" priority="24" stopIfTrue="1">
      <formula>AND(ABS(G6)&gt;1.05,ABS(G6)&lt;=1.1)</formula>
    </cfRule>
    <cfRule type="expression" dxfId="18" priority="25" stopIfTrue="1">
      <formula>AND(ABS(G6)&gt;1.1,ABS(G6)&lt;=1.15)</formula>
    </cfRule>
    <cfRule type="expression" dxfId="17" priority="26" stopIfTrue="1">
      <formula>AND(ABS(G6)&gt;1.15,ABS(G6)&lt;=1.2)</formula>
    </cfRule>
    <cfRule type="expression" dxfId="16" priority="27" stopIfTrue="1">
      <formula>AND(ABS(G6)&gt;1.2,ABS(G6)&lt;=1.25)</formula>
    </cfRule>
    <cfRule type="expression" dxfId="15" priority="28" stopIfTrue="1">
      <formula>AND(ABS(G6)&gt;1.25,ABS(G6)&lt;=1.3)</formula>
    </cfRule>
    <cfRule type="expression" dxfId="14" priority="29" stopIfTrue="1">
      <formula>AND(ABS(G6)&gt;1.3,ABS(G6)&lt;=1.35)</formula>
    </cfRule>
    <cfRule type="expression" dxfId="13" priority="30" stopIfTrue="1">
      <formula>AND(ABS(G6)&gt;1.35,ABS(G6)&lt;=1.4)</formula>
    </cfRule>
    <cfRule type="expression" dxfId="12" priority="31" stopIfTrue="1">
      <formula>AND(ABS(G6)&gt;1.4,ABS(G6)&lt;=1.45)</formula>
    </cfRule>
    <cfRule type="expression" dxfId="11" priority="32" stopIfTrue="1">
      <formula>AND(ABS(G6)&gt;1.45,ABS(G6)&lt;=1.5)</formula>
    </cfRule>
    <cfRule type="expression" dxfId="10" priority="33" stopIfTrue="1">
      <formula>AND(ABS(G6)&gt;1.5,ABS(G6)&lt;=1.55)</formula>
    </cfRule>
    <cfRule type="expression" dxfId="9" priority="34" stopIfTrue="1">
      <formula>AND(ABS(G6)&gt;1.55,ABS(G6)&lt;=1.6)</formula>
    </cfRule>
    <cfRule type="expression" dxfId="8" priority="35" stopIfTrue="1">
      <formula>AND(ABS(G6)&gt;1.6,ABS(G6)&lt;=1.65)</formula>
    </cfRule>
    <cfRule type="expression" dxfId="7" priority="36" stopIfTrue="1">
      <formula>AND(ABS(G6)&gt;1.65,ABS(G6)&lt;=1.7)</formula>
    </cfRule>
    <cfRule type="expression" dxfId="6" priority="37" stopIfTrue="1">
      <formula>AND(ABS(G6)&gt;1.7,ABS(G6)&lt;=1.75)</formula>
    </cfRule>
    <cfRule type="expression" dxfId="5" priority="38" stopIfTrue="1">
      <formula>AND(ABS(G6)&gt;1.75,ABS(G6)&lt;=1.8)</formula>
    </cfRule>
    <cfRule type="expression" dxfId="4" priority="39" stopIfTrue="1">
      <formula>AND(ABS(G6)&gt;1.8,ABS(G6)&lt;=1.85)</formula>
    </cfRule>
    <cfRule type="expression" dxfId="3" priority="40" stopIfTrue="1">
      <formula>AND(ABS(G6)&gt;1.85,ABS(G6)&lt;=1.9)</formula>
    </cfRule>
    <cfRule type="expression" dxfId="2" priority="41" stopIfTrue="1">
      <formula>AND(ABS(G6)&gt;1.9,ABS(G6)&lt;=1.95)</formula>
    </cfRule>
    <cfRule type="expression" dxfId="1" priority="42" stopIfTrue="1">
      <formula>AND(ABS(G6)&gt;1.95,ABS(G6)&lt;=2)</formula>
    </cfRule>
    <cfRule type="expression" dxfId="0" priority="43" stopIfTrue="1">
      <formula>ABS(G6)&gt;2</formula>
    </cfRule>
  </conditionalFormatting>
  <pageMargins left="0.511811024" right="0.511811024" top="0.78740157499999996" bottom="0.78740157499999996" header="0.31496062000000002" footer="0.31496062000000002"/>
  <pageSetup paperSize="9" scale="6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6240-2007-4091-BCEC-3EB7962C6B88}">
  <sheetPr>
    <tabColor rgb="FF0066FF"/>
  </sheetPr>
  <dimension ref="A1:R40"/>
  <sheetViews>
    <sheetView showGridLines="0" showRowColHeaders="0" tabSelected="1" topLeftCell="A25" zoomScaleNormal="100" workbookViewId="0">
      <pane xSplit="3" topLeftCell="D1" activePane="topRight" state="frozen"/>
      <selection pane="topRight" activeCell="F18" sqref="F18"/>
    </sheetView>
  </sheetViews>
  <sheetFormatPr defaultRowHeight="13.8" x14ac:dyDescent="0.3"/>
  <cols>
    <col min="1" max="1" width="1.77734375" style="1" customWidth="1"/>
    <col min="2" max="2" width="8.33203125" style="1" customWidth="1"/>
    <col min="3" max="3" width="13.88671875" style="1" customWidth="1"/>
    <col min="4" max="5" width="12.77734375" style="1" customWidth="1"/>
    <col min="6" max="6" width="15.77734375" style="1" customWidth="1"/>
    <col min="7" max="7" width="12.77734375" style="1" customWidth="1"/>
    <col min="8" max="8" width="15.77734375" style="1" customWidth="1"/>
    <col min="9" max="9" width="12.77734375" style="1" customWidth="1"/>
    <col min="10" max="10" width="15.77734375" style="1" customWidth="1"/>
    <col min="11" max="11" width="12.77734375" style="1" customWidth="1"/>
    <col min="12" max="12" width="15.77734375" style="1" customWidth="1"/>
    <col min="13" max="13" width="12.77734375" style="1" customWidth="1"/>
    <col min="14" max="14" width="15.77734375" style="1" customWidth="1"/>
    <col min="15" max="16" width="12.5546875" style="1" customWidth="1"/>
    <col min="17" max="17" width="21.109375" style="1" bestFit="1" customWidth="1"/>
    <col min="18" max="18" width="2.109375" style="1" bestFit="1" customWidth="1"/>
    <col min="19" max="16384" width="8.88671875" style="1"/>
  </cols>
  <sheetData>
    <row r="1" spans="2:18" ht="4.95" customHeight="1" thickBot="1" x14ac:dyDescent="0.35"/>
    <row r="2" spans="2:18" ht="79.95" customHeight="1" thickTop="1" x14ac:dyDescent="0.3">
      <c r="B2" s="52"/>
      <c r="C2" s="53"/>
      <c r="D2" s="536" t="s">
        <v>139</v>
      </c>
      <c r="E2" s="536"/>
      <c r="F2" s="536"/>
      <c r="G2" s="536"/>
      <c r="H2" s="536"/>
      <c r="I2" s="536"/>
      <c r="J2" s="536"/>
      <c r="K2" s="536"/>
      <c r="L2" s="536"/>
      <c r="M2" s="536"/>
      <c r="N2" s="537"/>
    </row>
    <row r="3" spans="2:18" ht="37.950000000000003" customHeight="1" thickBot="1" x14ac:dyDescent="0.35">
      <c r="B3" s="54"/>
      <c r="C3" s="55"/>
      <c r="D3" s="581" t="s">
        <v>155</v>
      </c>
      <c r="E3" s="581"/>
      <c r="F3" s="581"/>
      <c r="G3" s="581"/>
      <c r="H3" s="581"/>
      <c r="I3" s="581"/>
      <c r="J3" s="581"/>
      <c r="K3" s="581"/>
      <c r="L3" s="581"/>
      <c r="M3" s="581"/>
      <c r="N3" s="582"/>
      <c r="O3" s="306"/>
    </row>
    <row r="4" spans="2:18" ht="15" thickTop="1" thickBot="1" x14ac:dyDescent="0.35">
      <c r="O4" s="306"/>
    </row>
    <row r="5" spans="2:18" ht="30" customHeight="1" thickTop="1" x14ac:dyDescent="0.3">
      <c r="B5" s="564" t="s">
        <v>126</v>
      </c>
      <c r="C5" s="565"/>
      <c r="D5" s="565"/>
      <c r="E5" s="565"/>
      <c r="F5" s="565"/>
      <c r="G5" s="565"/>
      <c r="H5" s="565"/>
      <c r="I5" s="565"/>
      <c r="J5" s="565"/>
      <c r="K5" s="565"/>
      <c r="L5" s="565"/>
      <c r="M5" s="565"/>
      <c r="N5" s="566"/>
      <c r="O5" s="306"/>
      <c r="Q5"/>
      <c r="R5"/>
    </row>
    <row r="6" spans="2:18" ht="16.95" customHeight="1" x14ac:dyDescent="0.3">
      <c r="B6" s="589" t="s">
        <v>48</v>
      </c>
      <c r="C6" s="585" t="s">
        <v>46</v>
      </c>
      <c r="D6" s="585" t="s">
        <v>113</v>
      </c>
      <c r="E6" s="578" t="s">
        <v>114</v>
      </c>
      <c r="F6" s="580" t="s">
        <v>119</v>
      </c>
      <c r="G6" s="578"/>
      <c r="H6" s="580" t="s">
        <v>121</v>
      </c>
      <c r="I6" s="578"/>
      <c r="J6" s="580" t="s">
        <v>123</v>
      </c>
      <c r="K6" s="578"/>
      <c r="L6" s="580" t="s">
        <v>125</v>
      </c>
      <c r="M6" s="578"/>
      <c r="N6" s="561" t="s">
        <v>134</v>
      </c>
      <c r="O6" s="307" t="s">
        <v>136</v>
      </c>
      <c r="Q6"/>
      <c r="R6"/>
    </row>
    <row r="7" spans="2:18" ht="16.95" customHeight="1" x14ac:dyDescent="0.3">
      <c r="B7" s="589"/>
      <c r="C7" s="586"/>
      <c r="D7" s="586"/>
      <c r="E7" s="579"/>
      <c r="F7" s="308" t="s">
        <v>141</v>
      </c>
      <c r="G7" s="309" t="s">
        <v>118</v>
      </c>
      <c r="H7" s="308" t="s">
        <v>117</v>
      </c>
      <c r="I7" s="309" t="s">
        <v>120</v>
      </c>
      <c r="J7" s="308" t="s">
        <v>115</v>
      </c>
      <c r="K7" s="309" t="s">
        <v>122</v>
      </c>
      <c r="L7" s="308" t="s">
        <v>142</v>
      </c>
      <c r="M7" s="309" t="s">
        <v>124</v>
      </c>
      <c r="N7" s="584"/>
      <c r="O7" s="306"/>
      <c r="Q7"/>
      <c r="R7"/>
    </row>
    <row r="8" spans="2:18" ht="19.05" customHeight="1" x14ac:dyDescent="0.3">
      <c r="B8" s="310">
        <f>_xlfn.RANK.EQ(N8,$N$8:$N$12)</f>
        <v>5</v>
      </c>
      <c r="C8" s="311" t="str" cm="1">
        <f t="array" ref="C8">INDEX(Heatmap!$G$5:$K$5,1,$D8)</f>
        <v>TML</v>
      </c>
      <c r="D8" s="312">
        <v>1</v>
      </c>
      <c r="E8" s="313">
        <f>COUNT(INDEX(Heatmap!$G$6:$K$29,0,$D8))</f>
        <v>24</v>
      </c>
      <c r="F8" s="314" cm="1">
        <f t="array" ref="F8">SUMPRODUCT(--(ABS(INDEX(Heatmap!$G$6:$K$29,0,$D8))&lt;=1))</f>
        <v>16</v>
      </c>
      <c r="G8" s="315">
        <f>(F8)/$E8</f>
        <v>0.66666666666666663</v>
      </c>
      <c r="H8" s="316" cm="1">
        <f t="array" ref="H8">SUMPRODUCT(ABS(INDEX(Heatmap!$G$6:$K$29,0,$D8)))/$E8</f>
        <v>0.96702365551580993</v>
      </c>
      <c r="I8" s="315">
        <f>1/(1+H8)</f>
        <v>0.50838229484218955</v>
      </c>
      <c r="J8" s="316" cm="1">
        <f t="array" ref="J8">_xlfn.PERCENTILE.INC(ABS(INDEX(Heatmap!$G$6:$K$29,0,$D8)),0.9)</f>
        <v>1.9684210526315793</v>
      </c>
      <c r="K8" s="315">
        <f>1/(1+MAX(0,J8-1))</f>
        <v>0.50802139037433147</v>
      </c>
      <c r="L8" s="314" cm="1">
        <f t="array" ref="L8">SUMPRODUCT(--(ABS(INDEX(Heatmap!$G$6:$K$29,0,$D8))&gt;2))</f>
        <v>2</v>
      </c>
      <c r="M8" s="315">
        <f>1/(1+5*L8/$E8)</f>
        <v>0.70588235294117641</v>
      </c>
      <c r="N8" s="317">
        <f>(F8+(I8*K8*M8)^(1/3))/(E8+1)</f>
        <v>0.66268096725243975</v>
      </c>
      <c r="O8" s="318">
        <f>_xlfn.RANK.EQ(N8,$N$8:$N$12)+COUNTIF($N$8:N8,N8)-1</f>
        <v>5</v>
      </c>
      <c r="P8" s="319"/>
      <c r="Q8"/>
      <c r="R8"/>
    </row>
    <row r="9" spans="2:18" ht="19.05" customHeight="1" x14ac:dyDescent="0.3">
      <c r="B9" s="320">
        <f>_xlfn.RANK.EQ(N9,$N$8:$N$12)</f>
        <v>4</v>
      </c>
      <c r="C9" s="321" t="str" cm="1">
        <f t="array" ref="C9">INDEX(Heatmap!$G$5:$K$5,1,$D9)</f>
        <v>refineR</v>
      </c>
      <c r="D9" s="322">
        <v>2</v>
      </c>
      <c r="E9" s="323">
        <f>COUNT(INDEX(Heatmap!$G$6:$K$29,0,$D9))</f>
        <v>24</v>
      </c>
      <c r="F9" s="324" cm="1">
        <f t="array" ref="F9">SUMPRODUCT(--(ABS(INDEX(Heatmap!$G$6:$K$29,0,$D9))&lt;=1))</f>
        <v>18</v>
      </c>
      <c r="G9" s="325">
        <f>(F9)/$E9</f>
        <v>0.75</v>
      </c>
      <c r="H9" s="326" cm="1">
        <f t="array" ref="H9">SUMPRODUCT(ABS(INDEX(Heatmap!$G$6:$K$29,0,$D9)))/$E9</f>
        <v>0.88950169157874681</v>
      </c>
      <c r="I9" s="327">
        <f>1/(1+H9)</f>
        <v>0.52924006602209706</v>
      </c>
      <c r="J9" s="328" cm="1">
        <f t="array" ref="J9">_xlfn.PERCENTILE.INC(ABS(INDEX(Heatmap!$G$6:$K$29,0,$D9)),0.9)</f>
        <v>2.3288888888888883</v>
      </c>
      <c r="K9" s="325">
        <f>1/(1+MAX(0,J9-1))</f>
        <v>0.42938931297709931</v>
      </c>
      <c r="L9" s="329" cm="1">
        <f t="array" ref="L9">SUMPRODUCT(--(ABS(INDEX(Heatmap!$G$6:$K$29,0,$D9))&gt;2))</f>
        <v>3</v>
      </c>
      <c r="M9" s="325">
        <f>1/(1+5*L9/$E9)</f>
        <v>0.61538461538461542</v>
      </c>
      <c r="N9" s="330">
        <f>(F9+(I9*K9*M9)^(1/3))/(E9+1)</f>
        <v>0.74076236643226478</v>
      </c>
      <c r="O9" s="318">
        <f>_xlfn.RANK.EQ(N9,$N$8:$N$12)+COUNTIF($N$8:N9,N9)-1</f>
        <v>4</v>
      </c>
      <c r="P9" s="319"/>
      <c r="Q9"/>
      <c r="R9"/>
    </row>
    <row r="10" spans="2:18" ht="19.05" customHeight="1" x14ac:dyDescent="0.3">
      <c r="B10" s="320">
        <f>_xlfn.RANK.EQ(N10,$N$8:$N$12)</f>
        <v>3</v>
      </c>
      <c r="C10" s="331" t="str" cm="1">
        <f t="array" ref="C10">INDEX(Heatmap!$G$5:$K$5,1,$D10)</f>
        <v>TMC</v>
      </c>
      <c r="D10" s="322">
        <v>3</v>
      </c>
      <c r="E10" s="323">
        <f>COUNT(INDEX(Heatmap!$G$6:$K$29,0,$D10))</f>
        <v>24</v>
      </c>
      <c r="F10" s="332" cm="1">
        <f t="array" ref="F10">SUMPRODUCT(--(ABS(INDEX(Heatmap!$G$6:$K$29,0,$D10))&lt;=1))</f>
        <v>21</v>
      </c>
      <c r="G10" s="327">
        <f>(F10)/$E10</f>
        <v>0.875</v>
      </c>
      <c r="H10" s="326" cm="1">
        <f t="array" ref="H10">SUMPRODUCT(ABS(INDEX(Heatmap!$G$6:$K$29,0,$D10)))/$E10</f>
        <v>0.56313668475518963</v>
      </c>
      <c r="I10" s="325">
        <f>1/(1+H10)</f>
        <v>0.6397393201456435</v>
      </c>
      <c r="J10" s="333" cm="1">
        <f t="array" ref="J10">_xlfn.PERCENTILE.INC(ABS(INDEX(Heatmap!$G$6:$K$29,0,$D10)),0.9)</f>
        <v>1.0538461538461545</v>
      </c>
      <c r="K10" s="325">
        <f>1/(1+MAX(0,J10-1))</f>
        <v>0.94890510948905049</v>
      </c>
      <c r="L10" s="329" cm="1">
        <f t="array" ref="L10">SUMPRODUCT(--(ABS(INDEX(Heatmap!$G$6:$K$29,0,$D10))&gt;2))</f>
        <v>1</v>
      </c>
      <c r="M10" s="327">
        <f>1/(1+5*L10/$E10)</f>
        <v>0.82758620689655182</v>
      </c>
      <c r="N10" s="334">
        <f>(F10+(I10*K10*M10)^(1/3))/(E10+1)</f>
        <v>0.87179847914940045</v>
      </c>
      <c r="O10" s="318">
        <f>_xlfn.RANK.EQ(N10,$N$8:$N$12)+COUNTIF($N$8:N10,N10)-1</f>
        <v>3</v>
      </c>
      <c r="P10" s="319"/>
      <c r="Q10"/>
      <c r="R10"/>
    </row>
    <row r="11" spans="2:18" ht="19.05" customHeight="1" x14ac:dyDescent="0.3">
      <c r="B11" s="335">
        <f>_xlfn.RANK.EQ(N11,$N$8:$N$12)</f>
        <v>2</v>
      </c>
      <c r="C11" s="331" t="str" cm="1">
        <f t="array" ref="C11">INDEX(Heatmap!$G$5:$K$5,1,$D11)</f>
        <v>reflimR</v>
      </c>
      <c r="D11" s="336">
        <v>4</v>
      </c>
      <c r="E11" s="323">
        <f>COUNT(INDEX(Heatmap!$G$6:$K$29,0,$D11))</f>
        <v>24</v>
      </c>
      <c r="F11" s="329" cm="1">
        <f t="array" ref="F11">SUMPRODUCT(--(ABS(INDEX(Heatmap!$G$6:$K$29,0,$D11))&lt;=1))</f>
        <v>23</v>
      </c>
      <c r="G11" s="325">
        <f>(F11)/$E11</f>
        <v>0.95833333333333337</v>
      </c>
      <c r="H11" s="337" cm="1">
        <f t="array" ref="H11">SUMPRODUCT(ABS(INDEX(Heatmap!$G$6:$K$29,0,$D11)))/$E11</f>
        <v>0.44430722823954899</v>
      </c>
      <c r="I11" s="338">
        <f>1/(1+H11)</f>
        <v>0.69237346490253981</v>
      </c>
      <c r="J11" s="316" cm="1">
        <f t="array" ref="J11">_xlfn.PERCENTILE.INC(ABS(INDEX(Heatmap!$G$6:$K$29,0,$D11)),0.9)</f>
        <v>0.85240567349587548</v>
      </c>
      <c r="K11" s="327">
        <f>1/(1+MAX(0,J11-1))</f>
        <v>1</v>
      </c>
      <c r="L11" s="329" cm="1">
        <f t="array" ref="L11">SUMPRODUCT(--(ABS(INDEX(Heatmap!$G$6:$K$29,0,$D11))&gt;2))</f>
        <v>0</v>
      </c>
      <c r="M11" s="325">
        <f>1/(1+5*L11/$E11)</f>
        <v>1</v>
      </c>
      <c r="N11" s="330">
        <f>(F11+(I11*K11*M11)^(1/3))/(E11+1)</f>
        <v>0.95538670533836378</v>
      </c>
      <c r="O11" s="318">
        <f>_xlfn.RANK.EQ(N11,$N$8:$N$12)+COUNTIF($N$8:N11,N11)-1</f>
        <v>2</v>
      </c>
      <c r="P11" s="319"/>
    </row>
    <row r="12" spans="2:18" ht="19.05" customHeight="1" thickBot="1" x14ac:dyDescent="0.35">
      <c r="B12" s="339">
        <f>_xlfn.RANK.EQ(N12,$N$8:$N$12)</f>
        <v>1</v>
      </c>
      <c r="C12" s="340" t="str" cm="1">
        <f t="array" ref="C12">INDEX(Heatmap!$G$5:$K$5,1,$D12)</f>
        <v>LabRI</v>
      </c>
      <c r="D12" s="341">
        <v>5</v>
      </c>
      <c r="E12" s="342">
        <f>COUNT(INDEX(Heatmap!$G$6:$K$29,0,$D12))</f>
        <v>24</v>
      </c>
      <c r="F12" s="343" cm="1">
        <f t="array" ref="F12">SUMPRODUCT(--(ABS(INDEX(Heatmap!$G$6:$K$29,0,$D12))&lt;=1))</f>
        <v>24</v>
      </c>
      <c r="G12" s="344">
        <f>(F12)/$E12</f>
        <v>1</v>
      </c>
      <c r="H12" s="345" cm="1">
        <f t="array" ref="H12">SUMPRODUCT(ABS(INDEX(Heatmap!$G$6:$K$29,0,$D12)))/$E12</f>
        <v>0.33352535118240273</v>
      </c>
      <c r="I12" s="344">
        <f>1/(1+H12)</f>
        <v>0.74989200551255031</v>
      </c>
      <c r="J12" s="345" cm="1">
        <f t="array" ref="J12">_xlfn.PERCENTILE.INC(ABS(INDEX(Heatmap!$G$6:$K$29,0,$D12)),0.9)</f>
        <v>0.68999999999999972</v>
      </c>
      <c r="K12" s="346">
        <f>1/(1+MAX(0,J12-1))</f>
        <v>1</v>
      </c>
      <c r="L12" s="343" cm="1">
        <f t="array" ref="L12">SUMPRODUCT(--(ABS(INDEX(Heatmap!$G$6:$K$29,0,$D12))&gt;2))</f>
        <v>0</v>
      </c>
      <c r="M12" s="344">
        <f>1/(1+5*L12/$E12)</f>
        <v>1</v>
      </c>
      <c r="N12" s="347">
        <f>(F12+(I12*K12*M12)^(1/3))/(E12+1)</f>
        <v>0.99634066742618232</v>
      </c>
      <c r="O12" s="318">
        <f>_xlfn.RANK.EQ(N12,$N$8:$N$12)+COUNTIF($N$8:N12,N12)-1</f>
        <v>1</v>
      </c>
      <c r="P12" s="319"/>
    </row>
    <row r="13" spans="2:18" ht="15" thickTop="1" thickBot="1" x14ac:dyDescent="0.35">
      <c r="C13" s="302"/>
      <c r="O13" s="306"/>
    </row>
    <row r="14" spans="2:18" ht="30" customHeight="1" thickTop="1" x14ac:dyDescent="0.3">
      <c r="B14" s="564" t="s">
        <v>127</v>
      </c>
      <c r="C14" s="565"/>
      <c r="D14" s="565"/>
      <c r="E14" s="565"/>
      <c r="F14" s="565"/>
      <c r="G14" s="565"/>
      <c r="H14" s="565"/>
      <c r="I14" s="565"/>
      <c r="J14" s="565"/>
      <c r="K14" s="565"/>
      <c r="L14" s="565"/>
      <c r="M14" s="565"/>
      <c r="N14" s="566"/>
      <c r="O14" s="306"/>
    </row>
    <row r="15" spans="2:18" ht="16.95" customHeight="1" x14ac:dyDescent="0.3">
      <c r="B15" s="589" t="s">
        <v>48</v>
      </c>
      <c r="C15" s="585" t="s">
        <v>46</v>
      </c>
      <c r="D15" s="585" t="s">
        <v>113</v>
      </c>
      <c r="E15" s="578" t="s">
        <v>114</v>
      </c>
      <c r="F15" s="580" t="s">
        <v>119</v>
      </c>
      <c r="G15" s="578"/>
      <c r="H15" s="580" t="s">
        <v>121</v>
      </c>
      <c r="I15" s="578"/>
      <c r="J15" s="580" t="s">
        <v>123</v>
      </c>
      <c r="K15" s="578"/>
      <c r="L15" s="580" t="s">
        <v>125</v>
      </c>
      <c r="M15" s="578"/>
      <c r="N15" s="561" t="s">
        <v>134</v>
      </c>
      <c r="O15" s="307" t="s">
        <v>136</v>
      </c>
    </row>
    <row r="16" spans="2:18" ht="16.95" customHeight="1" x14ac:dyDescent="0.3">
      <c r="B16" s="589"/>
      <c r="C16" s="586"/>
      <c r="D16" s="586"/>
      <c r="E16" s="579"/>
      <c r="F16" s="308" t="s">
        <v>138</v>
      </c>
      <c r="G16" s="309" t="s">
        <v>118</v>
      </c>
      <c r="H16" s="308" t="s">
        <v>117</v>
      </c>
      <c r="I16" s="309" t="s">
        <v>120</v>
      </c>
      <c r="J16" s="308" t="s">
        <v>115</v>
      </c>
      <c r="K16" s="309" t="s">
        <v>122</v>
      </c>
      <c r="L16" s="308" t="s">
        <v>116</v>
      </c>
      <c r="M16" s="309" t="s">
        <v>124</v>
      </c>
      <c r="N16" s="562"/>
      <c r="O16" s="348"/>
    </row>
    <row r="17" spans="1:16" ht="19.05" customHeight="1" x14ac:dyDescent="0.3">
      <c r="B17" s="310">
        <f>_xlfn.RANK.EQ(N17,$N$17:$N$21)</f>
        <v>5</v>
      </c>
      <c r="C17" s="311" t="str" cm="1">
        <f t="array" ref="C17">INDEX(Heatmap!$G$5:$K$5,1,$D17)</f>
        <v>TML</v>
      </c>
      <c r="D17" s="312">
        <v>1</v>
      </c>
      <c r="E17" s="313">
        <f>COUNT(INDEX(Heatmap!$G$30:$K$59,0,$D17))</f>
        <v>30</v>
      </c>
      <c r="F17" s="314" cm="1">
        <f t="array" ref="F17">SUMPRODUCT(--(ABS(INDEX(Heatmap!$G$30:$K$59,0,$D17))&lt;=1))</f>
        <v>19</v>
      </c>
      <c r="G17" s="315">
        <f>(F17)/$E17</f>
        <v>0.6333333333333333</v>
      </c>
      <c r="H17" s="316" cm="1">
        <f t="array" ref="H17">SUMPRODUCT(ABS(INDEX(Heatmap!$G$30:$K$59,0,$D17)))/$E17</f>
        <v>0.94408665105386491</v>
      </c>
      <c r="I17" s="315">
        <f>1/(1+H17)</f>
        <v>0.5143803644029511</v>
      </c>
      <c r="J17" s="316" cm="1">
        <f t="array" ref="J17">_xlfn.PERCENTILE.INC(ABS(INDEX(Heatmap!$G$30:$K$59,0,$D17)),0.9)</f>
        <v>2.3464285714285733</v>
      </c>
      <c r="K17" s="315">
        <f>1/(1+MAX(0,J17-1))</f>
        <v>0.42617960426179569</v>
      </c>
      <c r="L17" s="314" cm="1">
        <f t="array" ref="L17">SUMPRODUCT(--(ABS(INDEX(Heatmap!$G$30:$K$59,0,$D17))&gt;2))</f>
        <v>5</v>
      </c>
      <c r="M17" s="315">
        <f>1/(1+5*L17/$E17)</f>
        <v>0.54545454545454541</v>
      </c>
      <c r="N17" s="349">
        <f>(F17+(I17*K17*M17)^(1/3))/(E17+1)</f>
        <v>0.62879540704046744</v>
      </c>
      <c r="O17" s="350">
        <f>_xlfn.RANK.EQ(N17,$N$17:$N$21)+COUNTIF($N$17:N17,N17)-1</f>
        <v>5</v>
      </c>
      <c r="P17" s="319"/>
    </row>
    <row r="18" spans="1:16" ht="19.05" customHeight="1" x14ac:dyDescent="0.3">
      <c r="B18" s="320">
        <f>_xlfn.RANK.EQ(N18,$N$17:$N$21)</f>
        <v>2</v>
      </c>
      <c r="C18" s="321" t="str" cm="1">
        <f t="array" ref="C18">INDEX(Heatmap!$G$5:$K$5,1,$D18)</f>
        <v>refineR</v>
      </c>
      <c r="D18" s="322">
        <v>2</v>
      </c>
      <c r="E18" s="323">
        <f>COUNT(INDEX(Heatmap!$G$30:$K$59,0,$D18))</f>
        <v>30</v>
      </c>
      <c r="F18" s="324" cm="1">
        <f t="array" ref="F18">SUMPRODUCT(--(ABS(INDEX(Heatmap!$G$30:$K$59,0,$D18))&lt;=1))</f>
        <v>22</v>
      </c>
      <c r="G18" s="325">
        <f>(F18)/$E18</f>
        <v>0.73333333333333328</v>
      </c>
      <c r="H18" s="326" cm="1">
        <f t="array" ref="H18">SUMPRODUCT(ABS(INDEX(Heatmap!$G$30:$K$59,0,$D18)))/$E18</f>
        <v>0.95518865469685155</v>
      </c>
      <c r="I18" s="327">
        <f>1/(1+H18)</f>
        <v>0.51145959628895665</v>
      </c>
      <c r="J18" s="328" cm="1">
        <f t="array" ref="J18">_xlfn.PERCENTILE.INC(ABS(INDEX(Heatmap!$G$30:$K$59,0,$D18)),0.9)</f>
        <v>2.0892857142857157</v>
      </c>
      <c r="K18" s="325">
        <f>1/(1+MAX(0,J18-1))</f>
        <v>0.47863247863247832</v>
      </c>
      <c r="L18" s="329" cm="1">
        <f t="array" ref="L18">SUMPRODUCT(--(ABS(INDEX(Heatmap!$G$30:$K$59,0,$D18))&gt;2))</f>
        <v>3</v>
      </c>
      <c r="M18" s="325">
        <f>1/(1+5*L18/$E18)</f>
        <v>0.66666666666666663</v>
      </c>
      <c r="N18" s="330">
        <f>(F18+(I18*K18*M18)^(1/3))/(E18+1)</f>
        <v>0.72730579861378131</v>
      </c>
      <c r="O18" s="350">
        <f>_xlfn.RANK.EQ(N18,$N$17:$N$21)+COUNTIF($N$17:N18,N18)-1</f>
        <v>2</v>
      </c>
      <c r="P18" s="319"/>
    </row>
    <row r="19" spans="1:16" ht="19.05" customHeight="1" x14ac:dyDescent="0.3">
      <c r="B19" s="320">
        <f>_xlfn.RANK.EQ(N19,$N$17:$N$21)</f>
        <v>3</v>
      </c>
      <c r="C19" s="331" t="str" cm="1">
        <f t="array" ref="C19">INDEX(Heatmap!$G$5:$K$5,1,$D19)</f>
        <v>TMC</v>
      </c>
      <c r="D19" s="322">
        <v>3</v>
      </c>
      <c r="E19" s="323">
        <f>COUNT(INDEX(Heatmap!$G$30:$K$59,0,$D19))</f>
        <v>30</v>
      </c>
      <c r="F19" s="332" cm="1">
        <f t="array" ref="F19">SUMPRODUCT(--(ABS(INDEX(Heatmap!$G$30:$K$59,0,$D19))&lt;=1))</f>
        <v>22</v>
      </c>
      <c r="G19" s="327">
        <f>(F19)/$E19</f>
        <v>0.73333333333333328</v>
      </c>
      <c r="H19" s="326" cm="1">
        <f t="array" ref="H19">SUMPRODUCT(ABS(INDEX(Heatmap!$G$30:$K$59,0,$D19)))/$E19</f>
        <v>0.93749544626593873</v>
      </c>
      <c r="I19" s="325">
        <f>1/(1+H19)</f>
        <v>0.51613024532638874</v>
      </c>
      <c r="J19" s="326" cm="1">
        <f t="array" ref="J19">_xlfn.PERCENTILE.INC(ABS(INDEX(Heatmap!$G$30:$K$59,0,$D19)),0.9)</f>
        <v>3.2131147540983638</v>
      </c>
      <c r="K19" s="325">
        <f>1/(1+MAX(0,J19-1))</f>
        <v>0.31122448979591805</v>
      </c>
      <c r="L19" s="329" cm="1">
        <f t="array" ref="L19">SUMPRODUCT(--(ABS(INDEX(Heatmap!$G$30:$K$59,0,$D19))&gt;2))</f>
        <v>5</v>
      </c>
      <c r="M19" s="327">
        <f>1/(1+5*L19/$E19)</f>
        <v>0.54545454545454541</v>
      </c>
      <c r="N19" s="330">
        <f>(F19+(I19*K19*M19)^(1/3))/(E19+1)</f>
        <v>0.72400486773105766</v>
      </c>
      <c r="O19" s="350">
        <f>_xlfn.RANK.EQ(N19,$N$17:$N$21)+COUNTIF($N$17:N19,N19)-1</f>
        <v>3</v>
      </c>
      <c r="P19" s="319"/>
    </row>
    <row r="20" spans="1:16" ht="19.05" customHeight="1" x14ac:dyDescent="0.3">
      <c r="B20" s="335">
        <f>_xlfn.RANK.EQ(N20,$N$17:$N$21)</f>
        <v>4</v>
      </c>
      <c r="C20" s="331" t="str" cm="1">
        <f t="array" ref="C20">INDEX(Heatmap!$G$5:$K$5,1,$D20)</f>
        <v>reflimR</v>
      </c>
      <c r="D20" s="336">
        <v>4</v>
      </c>
      <c r="E20" s="323">
        <f>COUNT(INDEX(Heatmap!$G$30:$K$59,0,$D20))</f>
        <v>30</v>
      </c>
      <c r="F20" s="329" cm="1">
        <f t="array" ref="F20">SUMPRODUCT(--(ABS(INDEX(Heatmap!$G$30:$K$59,0,$D20))&lt;=1))</f>
        <v>20</v>
      </c>
      <c r="G20" s="325">
        <f>(F20)/$E20</f>
        <v>0.66666666666666663</v>
      </c>
      <c r="H20" s="337" cm="1">
        <f t="array" ref="H20">SUMPRODUCT(ABS(INDEX(Heatmap!$G$30:$K$59,0,$D20)))/$E20</f>
        <v>0.88990111891751189</v>
      </c>
      <c r="I20" s="338">
        <f>1/(1+H20)</f>
        <v>0.52912821204782134</v>
      </c>
      <c r="J20" s="337" cm="1">
        <f t="array" ref="J20">_xlfn.PERCENTILE.INC(ABS(INDEX(Heatmap!$G$30:$K$59,0,$D20)),0.9)</f>
        <v>2.3616666666666677</v>
      </c>
      <c r="K20" s="327">
        <f>1/(1+MAX(0,J20-1))</f>
        <v>0.42342978122794617</v>
      </c>
      <c r="L20" s="329" cm="1">
        <f t="array" ref="L20">SUMPRODUCT(--(ABS(INDEX(Heatmap!$G$30:$K$59,0,$D20))&gt;2))</f>
        <v>5</v>
      </c>
      <c r="M20" s="325">
        <f>1/(1+5*L20/$E20)</f>
        <v>0.54545454545454541</v>
      </c>
      <c r="N20" s="330">
        <f>(F20+(I20*K20*M20)^(1/3))/(E20+1)</f>
        <v>0.66116934653174031</v>
      </c>
      <c r="O20" s="350">
        <f>_xlfn.RANK.EQ(N20,$N$17:$N$21)+COUNTIF($N$17:N20,N20)-1</f>
        <v>4</v>
      </c>
      <c r="P20" s="319"/>
    </row>
    <row r="21" spans="1:16" ht="19.05" customHeight="1" thickBot="1" x14ac:dyDescent="0.35">
      <c r="B21" s="339">
        <f>_xlfn.RANK.EQ(N21,$N$17:$N$21)</f>
        <v>1</v>
      </c>
      <c r="C21" s="340" t="str" cm="1">
        <f t="array" ref="C21">INDEX(Heatmap!$G$5:$K$5,1,$D21)</f>
        <v>LabRI</v>
      </c>
      <c r="D21" s="341">
        <v>5</v>
      </c>
      <c r="E21" s="342">
        <f>COUNT(INDEX(Heatmap!$G$30:$K$59,0,$D21))</f>
        <v>30</v>
      </c>
      <c r="F21" s="343" cm="1">
        <f t="array" ref="F21">SUMPRODUCT(--(ABS(INDEX(Heatmap!$G$30:$K$59,0,$D21))&lt;=1))</f>
        <v>26</v>
      </c>
      <c r="G21" s="344">
        <f>(F21)/$E21</f>
        <v>0.8666666666666667</v>
      </c>
      <c r="H21" s="345" cm="1">
        <f t="array" ref="H21">SUMPRODUCT(ABS(INDEX(Heatmap!$G$30:$K$59,0,$D21)))/$E21</f>
        <v>0.47617030965391649</v>
      </c>
      <c r="I21" s="344">
        <f>1/(1+H21)</f>
        <v>0.67742860932790805</v>
      </c>
      <c r="J21" s="345" cm="1">
        <f t="array" ref="J21">_xlfn.PERCENTILE.INC(ABS(INDEX(Heatmap!$G$30:$K$59,0,$D21)),0.9)</f>
        <v>1.2318032786885267</v>
      </c>
      <c r="K21" s="346">
        <f>1/(1+MAX(0,J21-1))</f>
        <v>0.81181793984562012</v>
      </c>
      <c r="L21" s="343" cm="1">
        <f t="array" ref="L21">SUMPRODUCT(--(ABS(INDEX(Heatmap!$G$30:$K$59,0,$D21))&gt;2))</f>
        <v>0</v>
      </c>
      <c r="M21" s="344">
        <f>1/(1+5*L21/$E21)</f>
        <v>1</v>
      </c>
      <c r="N21" s="351">
        <f>(F21+(I21*K21*M21)^(1/3))/(E21+1)</f>
        <v>0.86513857404454086</v>
      </c>
      <c r="O21" s="350">
        <f>_xlfn.RANK.EQ(N21,$N$17:$N$21)+COUNTIF($N$17:N21,N21)-1</f>
        <v>1</v>
      </c>
      <c r="P21" s="319"/>
    </row>
    <row r="22" spans="1:16" ht="15" thickTop="1" thickBot="1" x14ac:dyDescent="0.35">
      <c r="C22" s="302"/>
      <c r="O22" s="306"/>
    </row>
    <row r="23" spans="1:16" ht="30" customHeight="1" thickTop="1" x14ac:dyDescent="0.3">
      <c r="B23" s="564" t="s">
        <v>131</v>
      </c>
      <c r="C23" s="565"/>
      <c r="D23" s="565"/>
      <c r="E23" s="565"/>
      <c r="F23" s="565"/>
      <c r="G23" s="565"/>
      <c r="H23" s="565"/>
      <c r="I23" s="565"/>
      <c r="J23" s="565"/>
      <c r="K23" s="565"/>
      <c r="L23" s="565"/>
      <c r="M23" s="565"/>
      <c r="N23" s="566"/>
      <c r="O23" s="306"/>
    </row>
    <row r="24" spans="1:16" ht="19.95" customHeight="1" x14ac:dyDescent="0.3">
      <c r="A24" s="33"/>
      <c r="B24" s="580" t="s">
        <v>48</v>
      </c>
      <c r="C24" s="585" t="s">
        <v>46</v>
      </c>
      <c r="D24" s="585" t="s">
        <v>113</v>
      </c>
      <c r="E24" s="578" t="s">
        <v>114</v>
      </c>
      <c r="F24" s="580" t="s">
        <v>119</v>
      </c>
      <c r="G24" s="578"/>
      <c r="H24" s="580" t="s">
        <v>121</v>
      </c>
      <c r="I24" s="578"/>
      <c r="J24" s="580" t="s">
        <v>123</v>
      </c>
      <c r="K24" s="578"/>
      <c r="L24" s="580" t="s">
        <v>125</v>
      </c>
      <c r="M24" s="578"/>
      <c r="N24" s="561" t="s">
        <v>134</v>
      </c>
      <c r="O24" s="307" t="s">
        <v>136</v>
      </c>
    </row>
    <row r="25" spans="1:16" ht="19.95" customHeight="1" x14ac:dyDescent="0.3">
      <c r="A25" s="33"/>
      <c r="B25" s="580"/>
      <c r="C25" s="586"/>
      <c r="D25" s="586"/>
      <c r="E25" s="579"/>
      <c r="F25" s="308" t="s">
        <v>138</v>
      </c>
      <c r="G25" s="309" t="s">
        <v>118</v>
      </c>
      <c r="H25" s="308" t="s">
        <v>117</v>
      </c>
      <c r="I25" s="309" t="s">
        <v>120</v>
      </c>
      <c r="J25" s="308" t="s">
        <v>115</v>
      </c>
      <c r="K25" s="309" t="s">
        <v>122</v>
      </c>
      <c r="L25" s="308" t="s">
        <v>116</v>
      </c>
      <c r="M25" s="309" t="s">
        <v>124</v>
      </c>
      <c r="N25" s="562"/>
      <c r="O25" s="348"/>
    </row>
    <row r="26" spans="1:16" ht="19.05" customHeight="1" x14ac:dyDescent="0.3">
      <c r="A26" s="33"/>
      <c r="B26" s="310">
        <f>_xlfn.RANK.EQ(N26,$N$26:$N$30)</f>
        <v>5</v>
      </c>
      <c r="C26" s="311" t="str" cm="1">
        <f t="array" ref="C26">INDEX(Heatmap!$G$5:$K$5,1,$D26)</f>
        <v>TML</v>
      </c>
      <c r="D26" s="312">
        <v>1</v>
      </c>
      <c r="E26" s="313">
        <f>COUNT(INDEX(Heatmap!$G$6:$K$59,0,$D26))</f>
        <v>54</v>
      </c>
      <c r="F26" s="314" cm="1">
        <f t="array" ref="F26">SUMPRODUCT(--(ABS(INDEX(Heatmap!$G$6:$K$59,0,$D26))&lt;=1))</f>
        <v>35</v>
      </c>
      <c r="G26" s="315">
        <f>(F26)/$E26</f>
        <v>0.64814814814814814</v>
      </c>
      <c r="H26" s="316" cm="1">
        <f t="array" ref="H26">SUMPRODUCT(ABS(INDEX(Heatmap!$G$6:$K$59,0,$D26)))/$E26</f>
        <v>0.95428087525917338</v>
      </c>
      <c r="I26" s="315">
        <f>1/(1+H26)</f>
        <v>0.51169717345127363</v>
      </c>
      <c r="J26" s="316" cm="1">
        <f t="array" ref="J26">_xlfn.PERCENTILE.INC(ABS(INDEX(Heatmap!$G$6:$K$59,0,$D26)),0.9)</f>
        <v>2.2642857142857165</v>
      </c>
      <c r="K26" s="315">
        <f>1/(1+MAX(0,J26-1))</f>
        <v>0.44164037854889548</v>
      </c>
      <c r="L26" s="314" cm="1">
        <f t="array" ref="L26">SUMPRODUCT(--(ABS(INDEX(Heatmap!$G$6:$K$59,0,$D26))&gt;2))</f>
        <v>7</v>
      </c>
      <c r="M26" s="315">
        <f>1/(1+5*L26/$E26)</f>
        <v>0.6067415730337079</v>
      </c>
      <c r="N26" s="352">
        <f>(F26+(I26*K26*M26)^(1/3))/(E26+1)</f>
        <v>0.64573923827113833</v>
      </c>
      <c r="O26" s="350">
        <f>_xlfn.RANK.EQ(N26,$N$26:$N$30)+COUNTIF($N$26:N26,N26)-1</f>
        <v>5</v>
      </c>
    </row>
    <row r="27" spans="1:16" ht="19.05" customHeight="1" x14ac:dyDescent="0.3">
      <c r="A27" s="33"/>
      <c r="B27" s="320">
        <f>_xlfn.RANK.EQ(N27,$N$26:$N$30)</f>
        <v>4</v>
      </c>
      <c r="C27" s="321" t="str" cm="1">
        <f t="array" ref="C27">INDEX(Heatmap!$G$5:$K$5,1,$D27)</f>
        <v>refineR</v>
      </c>
      <c r="D27" s="322">
        <v>2</v>
      </c>
      <c r="E27" s="323">
        <f>COUNT(INDEX(Heatmap!$G$6:$K$59,0,$D27))</f>
        <v>54</v>
      </c>
      <c r="F27" s="324" cm="1">
        <f t="array" ref="F27">SUMPRODUCT(--(ABS(INDEX(Heatmap!$G$6:$K$59,0,$D27))&lt;=1))</f>
        <v>40</v>
      </c>
      <c r="G27" s="325">
        <f>(F27)/$E27</f>
        <v>0.7407407407407407</v>
      </c>
      <c r="H27" s="326" cm="1">
        <f t="array" ref="H27">SUMPRODUCT(ABS(INDEX(Heatmap!$G$6:$K$59,0,$D27)))/$E27</f>
        <v>0.92599444886658289</v>
      </c>
      <c r="I27" s="327">
        <f>1/(1+H27)</f>
        <v>0.51921229606268293</v>
      </c>
      <c r="J27" s="328" cm="1">
        <f t="array" ref="J27">_xlfn.PERCENTILE.INC(ABS(INDEX(Heatmap!$G$6:$K$59,0,$D27)),0.9)</f>
        <v>2.3888888888888902</v>
      </c>
      <c r="K27" s="325">
        <f>1/(1+MAX(0,J27-1))</f>
        <v>0.4186046511627905</v>
      </c>
      <c r="L27" s="329" cm="1">
        <f t="array" ref="L27">SUMPRODUCT(--(ABS(INDEX(Heatmap!$G$6:$K$59,0,$D27))&gt;2))</f>
        <v>6</v>
      </c>
      <c r="M27" s="325">
        <f>1/(1+5*L27/$E27)</f>
        <v>0.64285714285714279</v>
      </c>
      <c r="N27" s="349">
        <f>(F27+(I27*K27*M27)^(1/3))/(E27+1)</f>
        <v>0.73670736309991303</v>
      </c>
      <c r="O27" s="350">
        <f>_xlfn.RANK.EQ(N27,$N$26:$N$30)+COUNTIF($N$26:N27,N27)-1</f>
        <v>4</v>
      </c>
    </row>
    <row r="28" spans="1:16" ht="19.05" customHeight="1" x14ac:dyDescent="0.3">
      <c r="A28" s="33"/>
      <c r="B28" s="320">
        <f>_xlfn.RANK.EQ(N28,$N$26:$N$30)</f>
        <v>3</v>
      </c>
      <c r="C28" s="331" t="str" cm="1">
        <f t="array" ref="C28">INDEX(Heatmap!$G$5:$K$5,1,$D28)</f>
        <v>TMC</v>
      </c>
      <c r="D28" s="322">
        <v>3</v>
      </c>
      <c r="E28" s="323">
        <f>COUNT(INDEX(Heatmap!$G$6:$K$59,0,$D28))</f>
        <v>54</v>
      </c>
      <c r="F28" s="332" cm="1">
        <f t="array" ref="F28">SUMPRODUCT(--(ABS(INDEX(Heatmap!$G$6:$K$59,0,$D28))&lt;=1))</f>
        <v>43</v>
      </c>
      <c r="G28" s="327">
        <f>(F28)/$E28</f>
        <v>0.79629629629629628</v>
      </c>
      <c r="H28" s="326" cm="1">
        <f t="array" ref="H28">SUMPRODUCT(ABS(INDEX(Heatmap!$G$6:$K$59,0,$D28)))/$E28</f>
        <v>0.7711137744833837</v>
      </c>
      <c r="I28" s="325">
        <f>1/(1+H28)</f>
        <v>0.56461646586859726</v>
      </c>
      <c r="J28" s="333" cm="1">
        <f t="array" ref="J28">_xlfn.PERCENTILE.INC(ABS(INDEX(Heatmap!$G$6:$K$59,0,$D28)),0.9)</f>
        <v>2.3155737704918073</v>
      </c>
      <c r="K28" s="325">
        <f>1/(1+MAX(0,J28-1))</f>
        <v>0.43185840707964523</v>
      </c>
      <c r="L28" s="329" cm="1">
        <f t="array" ref="L28">SUMPRODUCT(--(ABS(INDEX(Heatmap!$G$6:$K$59,0,$D28))&gt;2))</f>
        <v>6</v>
      </c>
      <c r="M28" s="327">
        <f>1/(1+5*L28/$E28)</f>
        <v>0.64285714285714279</v>
      </c>
      <c r="N28" s="330">
        <f>(F28+(I28*K28*M28)^(1/3))/(E28+1)</f>
        <v>0.79162151525481783</v>
      </c>
      <c r="O28" s="350">
        <f>_xlfn.RANK.EQ(N28,$N$26:$N$30)+COUNTIF($N$26:N28,N28)-1</f>
        <v>3</v>
      </c>
    </row>
    <row r="29" spans="1:16" ht="19.05" customHeight="1" x14ac:dyDescent="0.3">
      <c r="A29" s="33"/>
      <c r="B29" s="335">
        <f>_xlfn.RANK.EQ(N29,$N$26:$N$30)</f>
        <v>2</v>
      </c>
      <c r="C29" s="331" t="str" cm="1">
        <f t="array" ref="C29">INDEX(Heatmap!$G$5:$K$5,1,$D29)</f>
        <v>reflimR</v>
      </c>
      <c r="D29" s="336">
        <v>4</v>
      </c>
      <c r="E29" s="323">
        <f>COUNT(INDEX(Heatmap!$G$6:$K$59,0,$D29))</f>
        <v>54</v>
      </c>
      <c r="F29" s="329" cm="1">
        <f t="array" ref="F29">SUMPRODUCT(--(ABS(INDEX(Heatmap!$G$6:$K$59,0,$D29))&lt;=1))</f>
        <v>43</v>
      </c>
      <c r="G29" s="325">
        <f>(F29)/$E29</f>
        <v>0.79629629629629628</v>
      </c>
      <c r="H29" s="337" cm="1">
        <f t="array" ref="H29">SUMPRODUCT(ABS(INDEX(Heatmap!$G$6:$K$59,0,$D29)))/$E29</f>
        <v>0.6918593897273061</v>
      </c>
      <c r="I29" s="338">
        <f>1/(1+H29)</f>
        <v>0.59106566779239267</v>
      </c>
      <c r="J29" s="316" cm="1">
        <f t="array" ref="J29">_xlfn.PERCENTILE.INC(ABS(INDEX(Heatmap!$G$6:$K$59,0,$D29)),0.9)</f>
        <v>1.8700000000000008</v>
      </c>
      <c r="K29" s="327">
        <f>1/(1+MAX(0,J29-1))</f>
        <v>0.53475935828876986</v>
      </c>
      <c r="L29" s="329" cm="1">
        <f t="array" ref="L29">SUMPRODUCT(--(ABS(INDEX(Heatmap!$G$6:$K$59,0,$D29))&gt;2))</f>
        <v>5</v>
      </c>
      <c r="M29" s="325">
        <f>1/(1+5*L29/$E29)</f>
        <v>0.68354430379746833</v>
      </c>
      <c r="N29" s="349">
        <f>(F29+(I29*K29*M29)^(1/3))/(E29+1)</f>
        <v>0.79272816905426047</v>
      </c>
      <c r="O29" s="350">
        <f>_xlfn.RANK.EQ(N29,$N$26:$N$30)+COUNTIF($N$26:N29,N29)-1</f>
        <v>2</v>
      </c>
    </row>
    <row r="30" spans="1:16" ht="19.05" customHeight="1" thickBot="1" x14ac:dyDescent="0.35">
      <c r="A30" s="33"/>
      <c r="B30" s="339">
        <f>_xlfn.RANK.EQ(N30,$N$26:$N$30)</f>
        <v>1</v>
      </c>
      <c r="C30" s="353" t="str" cm="1">
        <f t="array" ref="C30">INDEX(Heatmap!$G$5:$K$5,1,$D30)</f>
        <v>LabRI</v>
      </c>
      <c r="D30" s="341">
        <v>5</v>
      </c>
      <c r="E30" s="342">
        <f>COUNT(INDEX(Heatmap!$G$6:$K$59,0,$D30))</f>
        <v>54</v>
      </c>
      <c r="F30" s="343" cm="1">
        <f t="array" ref="F30">SUMPRODUCT(--(ABS(INDEX(Heatmap!$G$6:$K$59,0,$D30))&lt;=1))</f>
        <v>50</v>
      </c>
      <c r="G30" s="344">
        <f>(F30)/$E30</f>
        <v>0.92592592592592593</v>
      </c>
      <c r="H30" s="345" cm="1">
        <f t="array" ref="H30">SUMPRODUCT(ABS(INDEX(Heatmap!$G$6:$K$59,0,$D30)))/$E30</f>
        <v>0.41277255033324356</v>
      </c>
      <c r="I30" s="344">
        <f>1/(1+H30)</f>
        <v>0.70782802211447338</v>
      </c>
      <c r="J30" s="345" cm="1">
        <f t="array" ref="J30">_xlfn.PERCENTILE.INC(ABS(INDEX(Heatmap!$G$6:$K$59,0,$D30)),0.9)</f>
        <v>0.75700000000000034</v>
      </c>
      <c r="K30" s="346">
        <f>1/(1+MAX(0,J30-1))</f>
        <v>1</v>
      </c>
      <c r="L30" s="343" cm="1">
        <f t="array" ref="L30">SUMPRODUCT(--(ABS(INDEX(Heatmap!$G$6:$K$59,0,$D30))&gt;2))</f>
        <v>0</v>
      </c>
      <c r="M30" s="344">
        <f>1/(1+5*L30/$E30)</f>
        <v>1</v>
      </c>
      <c r="N30" s="354">
        <f>(F30+(I30*K30*M30)^(1/3))/(E30+1)</f>
        <v>0.92529457304403817</v>
      </c>
      <c r="O30" s="350">
        <f>_xlfn.RANK.EQ(N30,$N$26:$N$30)+COUNTIF($N$26:N30,N30)-1</f>
        <v>1</v>
      </c>
    </row>
    <row r="31" spans="1:16" ht="15" thickTop="1" thickBot="1" x14ac:dyDescent="0.35">
      <c r="N31" s="302"/>
      <c r="O31" s="306"/>
    </row>
    <row r="32" spans="1:16" ht="30" customHeight="1" thickTop="1" x14ac:dyDescent="0.3">
      <c r="B32" s="564" t="s">
        <v>132</v>
      </c>
      <c r="C32" s="565"/>
      <c r="D32" s="565"/>
      <c r="E32" s="565"/>
      <c r="F32" s="565"/>
      <c r="G32" s="565"/>
      <c r="H32" s="565"/>
      <c r="I32" s="565"/>
      <c r="J32" s="565"/>
      <c r="K32" s="565"/>
      <c r="L32" s="565"/>
      <c r="M32" s="565"/>
      <c r="N32" s="566"/>
      <c r="O32" s="306"/>
    </row>
    <row r="33" spans="2:15" ht="19.95" customHeight="1" x14ac:dyDescent="0.3">
      <c r="B33" s="573" t="s">
        <v>137</v>
      </c>
      <c r="C33" s="563" t="s">
        <v>110</v>
      </c>
      <c r="D33" s="563"/>
      <c r="E33" s="563"/>
      <c r="F33" s="583"/>
      <c r="G33" s="592" t="s">
        <v>130</v>
      </c>
      <c r="H33" s="563"/>
      <c r="I33" s="563"/>
      <c r="J33" s="583"/>
      <c r="K33" s="563" t="s">
        <v>128</v>
      </c>
      <c r="L33" s="563"/>
      <c r="M33" s="563"/>
      <c r="N33" s="561"/>
      <c r="O33" s="306"/>
    </row>
    <row r="34" spans="2:15" ht="30" customHeight="1" x14ac:dyDescent="0.3">
      <c r="B34" s="574"/>
      <c r="C34" s="355" t="s">
        <v>48</v>
      </c>
      <c r="D34" s="567" t="s">
        <v>129</v>
      </c>
      <c r="E34" s="568"/>
      <c r="F34" s="309" t="s">
        <v>134</v>
      </c>
      <c r="G34" s="355" t="s">
        <v>48</v>
      </c>
      <c r="H34" s="567" t="s">
        <v>129</v>
      </c>
      <c r="I34" s="568"/>
      <c r="J34" s="309" t="s">
        <v>134</v>
      </c>
      <c r="K34" s="355" t="s">
        <v>48</v>
      </c>
      <c r="L34" s="567" t="s">
        <v>129</v>
      </c>
      <c r="M34" s="568"/>
      <c r="N34" s="356" t="s">
        <v>134</v>
      </c>
      <c r="O34" s="306"/>
    </row>
    <row r="35" spans="2:15" ht="19.05" customHeight="1" x14ac:dyDescent="0.3">
      <c r="B35" s="357">
        <v>1</v>
      </c>
      <c r="C35" s="358">
        <f>INDEX($B$8:$B$12,MATCH($B35,$O$8:$O$12,0))</f>
        <v>1</v>
      </c>
      <c r="D35" s="569" t="str">
        <f>INDEX($C$8:$C$12,MATCH($B35,$O$8:$O$12,0))</f>
        <v>LabRI</v>
      </c>
      <c r="E35" s="570"/>
      <c r="F35" s="359">
        <f>INDEX($N$8:$N$12,MATCH($B35,$O$8:$O$12,0))</f>
        <v>0.99634066742618232</v>
      </c>
      <c r="G35" s="358">
        <f>INDEX($B$17:$B$21,MATCH($B35,$O$17:$O$21,0))</f>
        <v>1</v>
      </c>
      <c r="H35" s="571" t="str">
        <f>INDEX($C$17:$C$21,MATCH($B35,$O$17:$O$21,0))</f>
        <v>LabRI</v>
      </c>
      <c r="I35" s="572"/>
      <c r="J35" s="360">
        <f>INDEX($N$17:$N$21,MATCH($B35,$O$17:$O$21,0))</f>
        <v>0.86513857404454086</v>
      </c>
      <c r="K35" s="361">
        <f>INDEX($B$26:$B$30,MATCH($B35,$O$26:$O$30,0))</f>
        <v>1</v>
      </c>
      <c r="L35" s="569" t="str">
        <f>INDEX($C$26:$C$30,MATCH($B35,$O$26:$O$30,0))</f>
        <v>LabRI</v>
      </c>
      <c r="M35" s="570"/>
      <c r="N35" s="362">
        <f>INDEX($N$26:$N$30,MATCH($B35,$O$26:$O$30,0))</f>
        <v>0.92529457304403817</v>
      </c>
      <c r="O35" s="306"/>
    </row>
    <row r="36" spans="2:15" ht="19.05" customHeight="1" x14ac:dyDescent="0.3">
      <c r="B36" s="363">
        <v>2</v>
      </c>
      <c r="C36" s="364">
        <f>INDEX($B$8:$B$12,MATCH($B36,$O$8:$O$12,0))</f>
        <v>2</v>
      </c>
      <c r="D36" s="576" t="str">
        <f>INDEX($C$8:$C$12,MATCH($B36,$O$8:$O$12,0))</f>
        <v>reflimR</v>
      </c>
      <c r="E36" s="577"/>
      <c r="F36" s="365">
        <f>INDEX($N$8:$N$12,MATCH($B36,$O$8:$O$12,0))</f>
        <v>0.95538670533836378</v>
      </c>
      <c r="G36" s="364">
        <f>INDEX($B$17:$B$21,MATCH($B36,$O$17:$O$21,0))</f>
        <v>2</v>
      </c>
      <c r="H36" s="587" t="str">
        <f>INDEX($C$17:$C$21,MATCH($B36,$O$17:$O$21,0))</f>
        <v>refineR</v>
      </c>
      <c r="I36" s="588"/>
      <c r="J36" s="365">
        <f>INDEX($N$17:$N$21,MATCH($B36,$O$17:$O$21,0))</f>
        <v>0.72730579861378131</v>
      </c>
      <c r="K36" s="358">
        <f>INDEX($B$26:$B$30,MATCH($B36,$O$26:$O$30,0))</f>
        <v>2</v>
      </c>
      <c r="L36" s="576" t="str">
        <f>INDEX($C$26:$C$30,MATCH($B36,$O$26:$O$30,0))</f>
        <v>reflimR</v>
      </c>
      <c r="M36" s="577"/>
      <c r="N36" s="366">
        <f>INDEX($N$26:$N$30,MATCH($B36,$O$26:$O$30,0))</f>
        <v>0.79272816905426047</v>
      </c>
      <c r="O36" s="306"/>
    </row>
    <row r="37" spans="2:15" ht="19.05" customHeight="1" x14ac:dyDescent="0.3">
      <c r="B37" s="367">
        <v>3</v>
      </c>
      <c r="C37" s="364">
        <f>INDEX($B$8:$B$12,MATCH($B37,$O$8:$O$12,0))</f>
        <v>3</v>
      </c>
      <c r="D37" s="576" t="str">
        <f>INDEX($C$8:$C$12,MATCH($B37,$O$8:$O$12,0))</f>
        <v>TMC</v>
      </c>
      <c r="E37" s="577"/>
      <c r="F37" s="359">
        <f>INDEX($N$8:$N$12,MATCH($B37,$O$8:$O$12,0))</f>
        <v>0.87179847914940045</v>
      </c>
      <c r="G37" s="364">
        <f>INDEX($B$17:$B$21,MATCH($B37,$O$17:$O$21,0))</f>
        <v>3</v>
      </c>
      <c r="H37" s="587" t="str">
        <f>INDEX($C$17:$C$21,MATCH($B37,$O$17:$O$21,0))</f>
        <v>TMC</v>
      </c>
      <c r="I37" s="588"/>
      <c r="J37" s="365">
        <f>INDEX($N$17:$N$21,MATCH($B37,$O$17:$O$21,0))</f>
        <v>0.72400486773105766</v>
      </c>
      <c r="K37" s="364">
        <f>INDEX($B$26:$B$30,MATCH($B37,$O$26:$O$30,0))</f>
        <v>3</v>
      </c>
      <c r="L37" s="575" t="str">
        <f>INDEX($C$26:$C$30,MATCH($B37,$O$26:$O$30,0))</f>
        <v>TMC</v>
      </c>
      <c r="M37" s="572"/>
      <c r="N37" s="368">
        <f>INDEX($N$26:$N$30,MATCH($B37,$O$26:$O$30,0))</f>
        <v>0.79162151525481783</v>
      </c>
      <c r="O37" s="306"/>
    </row>
    <row r="38" spans="2:15" ht="19.05" customHeight="1" x14ac:dyDescent="0.3">
      <c r="B38" s="367">
        <v>4</v>
      </c>
      <c r="C38" s="364">
        <f>INDEX($B$8:$B$12,MATCH($B38,$O$8:$O$12,0))</f>
        <v>4</v>
      </c>
      <c r="D38" s="576" t="str">
        <f>INDEX($C$8:$C$12,MATCH($B38,$O$8:$O$12,0))</f>
        <v>refineR</v>
      </c>
      <c r="E38" s="577"/>
      <c r="F38" s="369">
        <f>INDEX($N$8:$N$12,MATCH($B38,$O$8:$O$12,0))</f>
        <v>0.74076236643226478</v>
      </c>
      <c r="G38" s="361">
        <f>INDEX($B$17:$B$21,MATCH($B38,$O$17:$O$21,0))</f>
        <v>4</v>
      </c>
      <c r="H38" s="587" t="str">
        <f>INDEX($C$17:$C$21,MATCH($B38,$O$17:$O$21,0))</f>
        <v>reflimR</v>
      </c>
      <c r="I38" s="588"/>
      <c r="J38" s="360">
        <f>INDEX($N$17:$N$21,MATCH($B38,$O$17:$O$21,0))</f>
        <v>0.66116934653174031</v>
      </c>
      <c r="K38" s="361">
        <f>INDEX($B$26:$B$30,MATCH($B38,$O$26:$O$30,0))</f>
        <v>4</v>
      </c>
      <c r="L38" s="576" t="str">
        <f>INDEX($C$26:$C$30,MATCH($B38,$O$26:$O$30,0))</f>
        <v>refineR</v>
      </c>
      <c r="M38" s="577"/>
      <c r="N38" s="366">
        <f>INDEX($N$26:$N$30,MATCH($B38,$O$26:$O$30,0))</f>
        <v>0.73670736309991303</v>
      </c>
      <c r="O38" s="306"/>
    </row>
    <row r="39" spans="2:15" ht="19.05" customHeight="1" thickBot="1" x14ac:dyDescent="0.35">
      <c r="B39" s="370">
        <v>5</v>
      </c>
      <c r="C39" s="371">
        <f>INDEX($B$8:$B$12,MATCH($B39,$O$8:$O$12,0))</f>
        <v>5</v>
      </c>
      <c r="D39" s="559" t="str">
        <f>INDEX($C$8:$C$12,MATCH($B39,$O$8:$O$12,0))</f>
        <v>TML</v>
      </c>
      <c r="E39" s="560"/>
      <c r="F39" s="372">
        <f>INDEX($N$8:$N$12,MATCH($B39,$O$8:$O$12,0))</f>
        <v>0.66268096725243975</v>
      </c>
      <c r="G39" s="371">
        <f>INDEX($B$17:$B$21,MATCH($B39,$O$17:$O$21,0))</f>
        <v>5</v>
      </c>
      <c r="H39" s="590" t="str">
        <f>INDEX($C$17:$C$21,MATCH($B39,$O$17:$O$21,0))</f>
        <v>TML</v>
      </c>
      <c r="I39" s="591"/>
      <c r="J39" s="373">
        <f>INDEX($N$17:$N$21,MATCH($B39,$O$17:$O$21,0))</f>
        <v>0.62879540704046744</v>
      </c>
      <c r="K39" s="371">
        <f>INDEX($B$26:$B$30,MATCH($B39,$O$26:$O$30,0))</f>
        <v>5</v>
      </c>
      <c r="L39" s="559" t="str">
        <f>INDEX($C$26:$C$30,MATCH($B39,$O$26:$O$30,0))</f>
        <v>TML</v>
      </c>
      <c r="M39" s="560"/>
      <c r="N39" s="374">
        <f>INDEX($N$26:$N$30,MATCH($B39,$O$26:$O$30,0))</f>
        <v>0.64573923827113833</v>
      </c>
      <c r="O39" s="306"/>
    </row>
    <row r="40" spans="2:15" ht="14.4" thickTop="1" x14ac:dyDescent="0.3"/>
  </sheetData>
  <mergeCells count="55">
    <mergeCell ref="H39:I39"/>
    <mergeCell ref="B5:N5"/>
    <mergeCell ref="D6:D7"/>
    <mergeCell ref="C6:C7"/>
    <mergeCell ref="B6:B7"/>
    <mergeCell ref="F6:G6"/>
    <mergeCell ref="H6:I6"/>
    <mergeCell ref="J6:K6"/>
    <mergeCell ref="C15:C16"/>
    <mergeCell ref="D15:D16"/>
    <mergeCell ref="E15:E16"/>
    <mergeCell ref="F15:G15"/>
    <mergeCell ref="D39:E39"/>
    <mergeCell ref="G33:J33"/>
    <mergeCell ref="D36:E36"/>
    <mergeCell ref="D37:E37"/>
    <mergeCell ref="D38:E38"/>
    <mergeCell ref="H36:I36"/>
    <mergeCell ref="L15:M15"/>
    <mergeCell ref="H15:I15"/>
    <mergeCell ref="J15:K15"/>
    <mergeCell ref="B23:N23"/>
    <mergeCell ref="B15:B16"/>
    <mergeCell ref="B24:B25"/>
    <mergeCell ref="L24:M24"/>
    <mergeCell ref="C24:C25"/>
    <mergeCell ref="L36:M36"/>
    <mergeCell ref="D2:N2"/>
    <mergeCell ref="D3:N3"/>
    <mergeCell ref="C33:F33"/>
    <mergeCell ref="B14:N14"/>
    <mergeCell ref="L34:M34"/>
    <mergeCell ref="N15:N16"/>
    <mergeCell ref="H24:I24"/>
    <mergeCell ref="L6:M6"/>
    <mergeCell ref="N6:N7"/>
    <mergeCell ref="E6:E7"/>
    <mergeCell ref="D24:D25"/>
    <mergeCell ref="J24:K24"/>
    <mergeCell ref="L39:M39"/>
    <mergeCell ref="N24:N25"/>
    <mergeCell ref="K33:N33"/>
    <mergeCell ref="B32:N32"/>
    <mergeCell ref="D34:E34"/>
    <mergeCell ref="D35:E35"/>
    <mergeCell ref="H34:I34"/>
    <mergeCell ref="H35:I35"/>
    <mergeCell ref="B33:B34"/>
    <mergeCell ref="L35:M35"/>
    <mergeCell ref="L37:M37"/>
    <mergeCell ref="L38:M38"/>
    <mergeCell ref="E24:E25"/>
    <mergeCell ref="F24:G24"/>
    <mergeCell ref="H37:I37"/>
    <mergeCell ref="H38:I38"/>
  </mergeCells>
  <conditionalFormatting sqref="F35:F39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35:J39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8:N1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17:N21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26:N30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35:N39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7E24-4C81-4310-9C7D-44C2D3BD8CCF}">
  <sheetPr>
    <tabColor theme="9" tint="-0.249977111117893"/>
  </sheetPr>
  <dimension ref="B1:Q131"/>
  <sheetViews>
    <sheetView showGridLines="0" showRowColHeaders="0" zoomScaleNormal="100" workbookViewId="0">
      <selection activeCell="P7" sqref="P7"/>
    </sheetView>
  </sheetViews>
  <sheetFormatPr defaultRowHeight="14.4" x14ac:dyDescent="0.3"/>
  <cols>
    <col min="1" max="1" width="0.88671875" style="87" customWidth="1"/>
    <col min="2" max="2" width="8.33203125" style="87" customWidth="1"/>
    <col min="3" max="3" width="13.88671875" style="87" customWidth="1"/>
    <col min="4" max="16384" width="8.88671875" style="87"/>
  </cols>
  <sheetData>
    <row r="1" spans="2:14" ht="4.95" customHeight="1" thickBot="1" x14ac:dyDescent="0.35"/>
    <row r="2" spans="2:14" ht="79.95" customHeight="1" thickTop="1" x14ac:dyDescent="0.3">
      <c r="B2" s="52"/>
      <c r="C2" s="53"/>
      <c r="D2" s="536" t="s">
        <v>139</v>
      </c>
      <c r="E2" s="536"/>
      <c r="F2" s="536"/>
      <c r="G2" s="536"/>
      <c r="H2" s="536"/>
      <c r="I2" s="536"/>
      <c r="J2" s="536"/>
      <c r="K2" s="536"/>
      <c r="L2" s="536"/>
      <c r="M2" s="536"/>
      <c r="N2" s="537"/>
    </row>
    <row r="3" spans="2:14" ht="37.950000000000003" customHeight="1" thickBot="1" x14ac:dyDescent="0.35">
      <c r="B3" s="54"/>
      <c r="C3" s="55"/>
      <c r="D3" s="581" t="s">
        <v>183</v>
      </c>
      <c r="E3" s="581"/>
      <c r="F3" s="581"/>
      <c r="G3" s="581"/>
      <c r="H3" s="581"/>
      <c r="I3" s="581"/>
      <c r="J3" s="581"/>
      <c r="K3" s="581"/>
      <c r="L3" s="581"/>
      <c r="M3" s="581"/>
      <c r="N3" s="582"/>
    </row>
    <row r="4" spans="2:14" ht="15" thickTop="1" x14ac:dyDescent="0.3"/>
    <row r="77" spans="17:17" x14ac:dyDescent="0.3">
      <c r="Q77"/>
    </row>
    <row r="86" spans="3:15" ht="18" x14ac:dyDescent="0.35">
      <c r="C86" s="594" t="s">
        <v>184</v>
      </c>
      <c r="D86" s="594"/>
      <c r="E86" s="594"/>
      <c r="F86" s="594"/>
      <c r="G86" s="594"/>
      <c r="H86" s="594"/>
      <c r="I86" s="594"/>
      <c r="J86" s="594"/>
      <c r="K86" s="594"/>
      <c r="L86" s="594"/>
      <c r="M86" s="594"/>
    </row>
    <row r="87" spans="3:15" x14ac:dyDescent="0.3">
      <c r="C87" s="593"/>
      <c r="D87" s="593"/>
      <c r="E87" s="593"/>
      <c r="F87" s="593"/>
      <c r="G87" s="593"/>
      <c r="H87" s="593"/>
      <c r="I87" s="593"/>
      <c r="J87" s="593"/>
      <c r="K87" s="593"/>
      <c r="L87" s="593"/>
      <c r="M87" s="593"/>
      <c r="N87" s="593"/>
      <c r="O87" s="593"/>
    </row>
    <row r="88" spans="3:15" x14ac:dyDescent="0.3">
      <c r="C88" s="593"/>
      <c r="D88" s="593"/>
      <c r="E88" s="593"/>
      <c r="F88" s="593"/>
      <c r="G88" s="593"/>
      <c r="H88" s="593"/>
      <c r="I88" s="593"/>
      <c r="J88" s="593"/>
      <c r="K88" s="593"/>
      <c r="L88" s="593"/>
      <c r="M88" s="593"/>
      <c r="N88" s="593"/>
      <c r="O88" s="593"/>
    </row>
    <row r="89" spans="3:15" x14ac:dyDescent="0.3">
      <c r="C89" s="593"/>
      <c r="D89" s="593"/>
      <c r="E89" s="593"/>
      <c r="F89" s="593"/>
      <c r="G89" s="593"/>
      <c r="H89" s="593"/>
      <c r="I89" s="593"/>
      <c r="J89" s="593"/>
      <c r="K89" s="593"/>
      <c r="L89" s="593"/>
      <c r="M89" s="593"/>
      <c r="N89" s="593"/>
      <c r="O89" s="593"/>
    </row>
    <row r="90" spans="3:15" x14ac:dyDescent="0.3">
      <c r="C90" s="593"/>
      <c r="D90" s="593"/>
      <c r="E90" s="593"/>
      <c r="F90" s="593"/>
      <c r="G90" s="593"/>
      <c r="H90" s="593"/>
      <c r="I90" s="593"/>
      <c r="J90" s="593"/>
      <c r="K90" s="593"/>
      <c r="L90" s="593"/>
      <c r="M90" s="593"/>
      <c r="N90" s="593"/>
      <c r="O90" s="593"/>
    </row>
    <row r="91" spans="3:15" x14ac:dyDescent="0.3">
      <c r="C91" s="593"/>
      <c r="D91" s="593"/>
      <c r="E91" s="593"/>
      <c r="F91" s="593"/>
      <c r="G91" s="593"/>
      <c r="H91" s="593"/>
      <c r="I91" s="593"/>
      <c r="J91" s="593"/>
      <c r="K91" s="593"/>
      <c r="L91" s="593"/>
      <c r="M91" s="593"/>
      <c r="N91" s="593"/>
      <c r="O91" s="593"/>
    </row>
    <row r="92" spans="3:15" x14ac:dyDescent="0.3">
      <c r="C92" s="593"/>
      <c r="D92" s="593"/>
      <c r="E92" s="593"/>
      <c r="F92" s="593"/>
      <c r="G92" s="593"/>
      <c r="H92" s="593"/>
      <c r="I92" s="593"/>
      <c r="J92" s="593"/>
      <c r="K92" s="593"/>
      <c r="L92" s="593"/>
      <c r="M92" s="593"/>
      <c r="N92" s="593"/>
      <c r="O92" s="593"/>
    </row>
    <row r="98" spans="3:15" ht="18" x14ac:dyDescent="0.35">
      <c r="C98" s="594" t="s">
        <v>185</v>
      </c>
      <c r="D98" s="594"/>
      <c r="E98" s="594"/>
      <c r="F98" s="594"/>
      <c r="G98" s="594"/>
      <c r="H98" s="594"/>
      <c r="I98" s="594"/>
      <c r="J98" s="594"/>
      <c r="K98" s="594"/>
      <c r="L98" s="594"/>
      <c r="M98" s="594"/>
    </row>
    <row r="99" spans="3:15" x14ac:dyDescent="0.3">
      <c r="C99" s="593"/>
      <c r="D99" s="593"/>
      <c r="E99" s="593"/>
      <c r="F99" s="593"/>
      <c r="G99" s="593"/>
      <c r="H99" s="593"/>
      <c r="I99" s="593"/>
      <c r="J99" s="593"/>
      <c r="K99" s="593"/>
      <c r="L99" s="593"/>
      <c r="M99" s="593"/>
      <c r="N99" s="593"/>
      <c r="O99" s="593"/>
    </row>
    <row r="100" spans="3:15" x14ac:dyDescent="0.3">
      <c r="C100" s="593"/>
      <c r="D100" s="593"/>
      <c r="E100" s="593"/>
      <c r="F100" s="593"/>
      <c r="G100" s="593"/>
      <c r="H100" s="593"/>
      <c r="I100" s="593"/>
      <c r="J100" s="593"/>
      <c r="K100" s="593"/>
      <c r="L100" s="593"/>
      <c r="M100" s="593"/>
      <c r="N100" s="593"/>
      <c r="O100" s="593"/>
    </row>
    <row r="101" spans="3:15" x14ac:dyDescent="0.3">
      <c r="C101" s="593"/>
      <c r="D101" s="593"/>
      <c r="E101" s="593"/>
      <c r="F101" s="593"/>
      <c r="G101" s="593"/>
      <c r="H101" s="593"/>
      <c r="I101" s="593"/>
      <c r="J101" s="593"/>
      <c r="K101" s="593"/>
      <c r="L101" s="593"/>
      <c r="M101" s="593"/>
      <c r="N101" s="593"/>
      <c r="O101" s="593"/>
    </row>
    <row r="102" spans="3:15" x14ac:dyDescent="0.3">
      <c r="C102" s="593"/>
      <c r="D102" s="593"/>
      <c r="E102" s="593"/>
      <c r="F102" s="593"/>
      <c r="G102" s="593"/>
      <c r="H102" s="593"/>
      <c r="I102" s="593"/>
      <c r="J102" s="593"/>
      <c r="K102" s="593"/>
      <c r="L102" s="593"/>
      <c r="M102" s="593"/>
      <c r="N102" s="593"/>
      <c r="O102" s="593"/>
    </row>
    <row r="103" spans="3:15" x14ac:dyDescent="0.3">
      <c r="C103" s="593"/>
      <c r="D103" s="593"/>
      <c r="E103" s="593"/>
      <c r="F103" s="593"/>
      <c r="G103" s="593"/>
      <c r="H103" s="593"/>
      <c r="I103" s="593"/>
      <c r="J103" s="593"/>
      <c r="K103" s="593"/>
      <c r="L103" s="593"/>
      <c r="M103" s="593"/>
      <c r="N103" s="593"/>
      <c r="O103" s="593"/>
    </row>
    <row r="104" spans="3:15" x14ac:dyDescent="0.3">
      <c r="C104" s="593"/>
      <c r="D104" s="593"/>
      <c r="E104" s="593"/>
      <c r="F104" s="593"/>
      <c r="G104" s="593"/>
      <c r="H104" s="593"/>
      <c r="I104" s="593"/>
      <c r="J104" s="593"/>
      <c r="K104" s="593"/>
      <c r="L104" s="593"/>
      <c r="M104" s="593"/>
      <c r="N104" s="593"/>
      <c r="O104" s="593"/>
    </row>
    <row r="105" spans="3:15" x14ac:dyDescent="0.3">
      <c r="C105" s="593"/>
      <c r="D105" s="593"/>
      <c r="E105" s="593"/>
      <c r="F105" s="593"/>
      <c r="G105" s="593"/>
      <c r="H105" s="593"/>
      <c r="I105" s="593"/>
      <c r="J105" s="593"/>
      <c r="K105" s="593"/>
      <c r="L105" s="593"/>
      <c r="M105" s="593"/>
      <c r="N105" s="593"/>
      <c r="O105" s="593"/>
    </row>
    <row r="111" spans="3:15" ht="18" x14ac:dyDescent="0.35">
      <c r="C111" s="594" t="s">
        <v>186</v>
      </c>
      <c r="D111" s="594"/>
      <c r="E111" s="594"/>
      <c r="F111" s="594"/>
      <c r="G111" s="594"/>
      <c r="H111" s="594"/>
      <c r="I111" s="594"/>
      <c r="J111" s="594"/>
      <c r="K111" s="594"/>
      <c r="L111" s="594"/>
      <c r="M111" s="594"/>
    </row>
    <row r="112" spans="3:15" x14ac:dyDescent="0.3">
      <c r="C112" s="593"/>
      <c r="D112" s="593"/>
      <c r="E112" s="593"/>
      <c r="F112" s="593"/>
      <c r="G112" s="593"/>
      <c r="H112" s="593"/>
      <c r="I112" s="593"/>
      <c r="J112" s="593"/>
      <c r="K112" s="593"/>
      <c r="L112" s="593"/>
      <c r="M112" s="593"/>
      <c r="N112" s="593"/>
      <c r="O112" s="593"/>
    </row>
    <row r="113" spans="3:15" x14ac:dyDescent="0.3">
      <c r="C113" s="593"/>
      <c r="D113" s="593"/>
      <c r="E113" s="593"/>
      <c r="F113" s="593"/>
      <c r="G113" s="593"/>
      <c r="H113" s="593"/>
      <c r="I113" s="593"/>
      <c r="J113" s="593"/>
      <c r="K113" s="593"/>
      <c r="L113" s="593"/>
      <c r="M113" s="593"/>
      <c r="N113" s="593"/>
      <c r="O113" s="593"/>
    </row>
    <row r="114" spans="3:15" x14ac:dyDescent="0.3">
      <c r="C114" s="593"/>
      <c r="D114" s="593"/>
      <c r="E114" s="593"/>
      <c r="F114" s="593"/>
      <c r="G114" s="593"/>
      <c r="H114" s="593"/>
      <c r="I114" s="593"/>
      <c r="J114" s="593"/>
      <c r="K114" s="593"/>
      <c r="L114" s="593"/>
      <c r="M114" s="593"/>
      <c r="N114" s="593"/>
      <c r="O114" s="593"/>
    </row>
    <row r="115" spans="3:15" x14ac:dyDescent="0.3">
      <c r="C115" s="593"/>
      <c r="D115" s="593"/>
      <c r="E115" s="593"/>
      <c r="F115" s="593"/>
      <c r="G115" s="593"/>
      <c r="H115" s="593"/>
      <c r="I115" s="593"/>
      <c r="J115" s="593"/>
      <c r="K115" s="593"/>
      <c r="L115" s="593"/>
      <c r="M115" s="593"/>
      <c r="N115" s="593"/>
      <c r="O115" s="593"/>
    </row>
    <row r="116" spans="3:15" x14ac:dyDescent="0.3">
      <c r="C116" s="593"/>
      <c r="D116" s="593"/>
      <c r="E116" s="593"/>
      <c r="F116" s="593"/>
      <c r="G116" s="593"/>
      <c r="H116" s="593"/>
      <c r="I116" s="593"/>
      <c r="J116" s="593"/>
      <c r="K116" s="593"/>
      <c r="L116" s="593"/>
      <c r="M116" s="593"/>
      <c r="N116" s="593"/>
      <c r="O116" s="593"/>
    </row>
    <row r="117" spans="3:15" x14ac:dyDescent="0.3">
      <c r="C117" s="593"/>
      <c r="D117" s="593"/>
      <c r="E117" s="593"/>
      <c r="F117" s="593"/>
      <c r="G117" s="593"/>
      <c r="H117" s="593"/>
      <c r="I117" s="593"/>
      <c r="J117" s="593"/>
      <c r="K117" s="593"/>
      <c r="L117" s="593"/>
      <c r="M117" s="593"/>
      <c r="N117" s="593"/>
      <c r="O117" s="593"/>
    </row>
    <row r="123" spans="3:15" ht="18" x14ac:dyDescent="0.35">
      <c r="C123" s="594" t="s">
        <v>187</v>
      </c>
      <c r="D123" s="594"/>
      <c r="E123" s="594"/>
      <c r="F123" s="594"/>
      <c r="G123" s="594"/>
      <c r="H123" s="594"/>
      <c r="I123" s="594"/>
      <c r="J123" s="594"/>
      <c r="K123" s="594"/>
      <c r="L123" s="594"/>
      <c r="M123" s="594"/>
    </row>
    <row r="124" spans="3:15" x14ac:dyDescent="0.3">
      <c r="C124" s="593"/>
      <c r="D124" s="593"/>
      <c r="E124" s="593"/>
      <c r="F124" s="593"/>
      <c r="G124" s="593"/>
      <c r="H124" s="593"/>
      <c r="I124" s="593"/>
      <c r="J124" s="593"/>
      <c r="K124" s="593"/>
      <c r="L124" s="593"/>
      <c r="M124" s="593"/>
      <c r="N124" s="593"/>
      <c r="O124" s="593"/>
    </row>
    <row r="125" spans="3:15" x14ac:dyDescent="0.3">
      <c r="C125" s="593"/>
      <c r="D125" s="593"/>
      <c r="E125" s="593"/>
      <c r="F125" s="593"/>
      <c r="G125" s="593"/>
      <c r="H125" s="593"/>
      <c r="I125" s="593"/>
      <c r="J125" s="593"/>
      <c r="K125" s="593"/>
      <c r="L125" s="593"/>
      <c r="M125" s="593"/>
      <c r="N125" s="593"/>
      <c r="O125" s="593"/>
    </row>
    <row r="126" spans="3:15" x14ac:dyDescent="0.3">
      <c r="C126" s="593"/>
      <c r="D126" s="593"/>
      <c r="E126" s="593"/>
      <c r="F126" s="593"/>
      <c r="G126" s="593"/>
      <c r="H126" s="593"/>
      <c r="I126" s="593"/>
      <c r="J126" s="593"/>
      <c r="K126" s="593"/>
      <c r="L126" s="593"/>
      <c r="M126" s="593"/>
      <c r="N126" s="593"/>
      <c r="O126" s="593"/>
    </row>
    <row r="127" spans="3:15" x14ac:dyDescent="0.3">
      <c r="C127" s="593"/>
      <c r="D127" s="593"/>
      <c r="E127" s="593"/>
      <c r="F127" s="593"/>
      <c r="G127" s="593"/>
      <c r="H127" s="593"/>
      <c r="I127" s="593"/>
      <c r="J127" s="593"/>
      <c r="K127" s="593"/>
      <c r="L127" s="593"/>
      <c r="M127" s="593"/>
      <c r="N127" s="593"/>
      <c r="O127" s="593"/>
    </row>
    <row r="128" spans="3:15" x14ac:dyDescent="0.3">
      <c r="C128" s="593"/>
      <c r="D128" s="593"/>
      <c r="E128" s="593"/>
      <c r="F128" s="593"/>
      <c r="G128" s="593"/>
      <c r="H128" s="593"/>
      <c r="I128" s="593"/>
      <c r="J128" s="593"/>
      <c r="K128" s="593"/>
      <c r="L128" s="593"/>
      <c r="M128" s="593"/>
      <c r="N128" s="593"/>
      <c r="O128" s="593"/>
    </row>
    <row r="129" spans="3:15" x14ac:dyDescent="0.3">
      <c r="C129" s="593"/>
      <c r="D129" s="593"/>
      <c r="E129" s="593"/>
      <c r="F129" s="593"/>
      <c r="G129" s="593"/>
      <c r="H129" s="593"/>
      <c r="I129" s="593"/>
      <c r="J129" s="593"/>
      <c r="K129" s="593"/>
      <c r="L129" s="593"/>
      <c r="M129" s="593"/>
      <c r="N129" s="593"/>
      <c r="O129" s="593"/>
    </row>
    <row r="130" spans="3:15" x14ac:dyDescent="0.3">
      <c r="C130" s="593"/>
      <c r="D130" s="593"/>
      <c r="E130" s="593"/>
      <c r="F130" s="593"/>
      <c r="G130" s="593"/>
      <c r="H130" s="593"/>
      <c r="I130" s="593"/>
      <c r="J130" s="593"/>
      <c r="K130" s="593"/>
      <c r="L130" s="593"/>
      <c r="M130" s="593"/>
      <c r="N130" s="593"/>
      <c r="O130" s="593"/>
    </row>
    <row r="131" spans="3:15" x14ac:dyDescent="0.3">
      <c r="C131" s="593"/>
      <c r="D131" s="593"/>
      <c r="E131" s="593"/>
      <c r="F131" s="593"/>
      <c r="G131" s="593"/>
      <c r="H131" s="593"/>
      <c r="I131" s="593"/>
      <c r="J131" s="593"/>
      <c r="K131" s="593"/>
      <c r="L131" s="593"/>
      <c r="M131" s="593"/>
      <c r="N131" s="593"/>
      <c r="O131" s="593"/>
    </row>
  </sheetData>
  <mergeCells count="10">
    <mergeCell ref="C124:O131"/>
    <mergeCell ref="D2:N2"/>
    <mergeCell ref="D3:N3"/>
    <mergeCell ref="C86:M86"/>
    <mergeCell ref="C98:M98"/>
    <mergeCell ref="C111:M111"/>
    <mergeCell ref="C123:M123"/>
    <mergeCell ref="C87:O92"/>
    <mergeCell ref="C99:O105"/>
    <mergeCell ref="C112:O117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FE7A-8194-4385-AB00-F11833F45065}">
  <sheetPr>
    <tabColor theme="9" tint="-0.249977111117893"/>
  </sheetPr>
  <dimension ref="A1:T45"/>
  <sheetViews>
    <sheetView showGridLines="0" showRowColHeaders="0" zoomScaleNormal="100" workbookViewId="0">
      <selection activeCell="B5" sqref="B5:O5"/>
    </sheetView>
  </sheetViews>
  <sheetFormatPr defaultColWidth="9.109375" defaultRowHeight="25.05" customHeight="1" x14ac:dyDescent="0.3"/>
  <cols>
    <col min="1" max="1" width="1" style="1" customWidth="1"/>
    <col min="2" max="14" width="12.77734375" style="1" customWidth="1"/>
    <col min="15" max="17" width="14.77734375" style="1" customWidth="1"/>
    <col min="18" max="20" width="14.77734375" style="2" customWidth="1"/>
    <col min="21" max="23" width="14.77734375" style="1" customWidth="1"/>
    <col min="24" max="25" width="23.77734375" style="1" customWidth="1"/>
    <col min="26" max="27" width="16.77734375" style="1" customWidth="1"/>
    <col min="28" max="29" width="26.77734375" style="1" customWidth="1"/>
    <col min="30" max="31" width="16.77734375" style="1" customWidth="1"/>
    <col min="32" max="33" width="26.77734375" style="1" customWidth="1"/>
    <col min="34" max="35" width="16.77734375" style="1" customWidth="1"/>
    <col min="36" max="37" width="26.77734375" style="1" customWidth="1"/>
    <col min="38" max="39" width="15.77734375" style="1" customWidth="1"/>
    <col min="40" max="41" width="23.77734375" style="1" customWidth="1"/>
    <col min="42" max="42" width="2.77734375" style="1" customWidth="1"/>
    <col min="43" max="43" width="26.5546875" style="1" bestFit="1" customWidth="1"/>
    <col min="44" max="44" width="34" style="1" customWidth="1"/>
    <col min="45" max="45" width="15.21875" style="1" customWidth="1"/>
    <col min="46" max="47" width="28.77734375" style="1" customWidth="1"/>
    <col min="48" max="48" width="30.6640625" style="1" bestFit="1" customWidth="1"/>
    <col min="49" max="16384" width="9.109375" style="1"/>
  </cols>
  <sheetData>
    <row r="1" spans="1:16" ht="4.95" customHeight="1" thickBot="1" x14ac:dyDescent="0.35"/>
    <row r="2" spans="1:16" ht="79.95" customHeight="1" thickTop="1" x14ac:dyDescent="0.3">
      <c r="B2" s="466"/>
      <c r="C2" s="467"/>
      <c r="D2" s="473" t="s">
        <v>140</v>
      </c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5"/>
    </row>
    <row r="3" spans="1:16" ht="37.950000000000003" customHeight="1" thickBot="1" x14ac:dyDescent="0.35">
      <c r="B3" s="468"/>
      <c r="C3" s="469"/>
      <c r="D3" s="483" t="s">
        <v>65</v>
      </c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5"/>
    </row>
    <row r="4" spans="1:16" ht="15" customHeight="1" thickTop="1" thickBot="1" x14ac:dyDescent="0.35">
      <c r="C4"/>
      <c r="D4" s="49"/>
      <c r="P4" s="3"/>
    </row>
    <row r="5" spans="1:16" s="2" customFormat="1" ht="25.05" customHeight="1" thickTop="1" x14ac:dyDescent="0.3">
      <c r="A5" s="33"/>
      <c r="B5" s="430" t="s">
        <v>65</v>
      </c>
      <c r="C5" s="431"/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2"/>
    </row>
    <row r="6" spans="1:16" s="2" customFormat="1" ht="25.05" customHeight="1" x14ac:dyDescent="0.3">
      <c r="A6" s="33"/>
      <c r="B6" s="427" t="s">
        <v>159</v>
      </c>
      <c r="C6" s="427"/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8"/>
      <c r="O6" s="429" t="s">
        <v>16</v>
      </c>
    </row>
    <row r="7" spans="1:16" s="2" customFormat="1" ht="25.05" customHeight="1" x14ac:dyDescent="0.3">
      <c r="A7" s="33"/>
      <c r="B7" s="427"/>
      <c r="C7" s="427"/>
      <c r="D7" s="427"/>
      <c r="E7" s="427"/>
      <c r="F7" s="427"/>
      <c r="G7" s="427"/>
      <c r="H7" s="427"/>
      <c r="I7" s="427"/>
      <c r="J7" s="427"/>
      <c r="K7" s="427"/>
      <c r="L7" s="427"/>
      <c r="M7" s="427"/>
      <c r="N7" s="428"/>
      <c r="O7" s="429"/>
    </row>
    <row r="8" spans="1:16" s="2" customFormat="1" ht="25.05" customHeight="1" x14ac:dyDescent="0.3">
      <c r="A8" s="33"/>
      <c r="B8" s="427" t="s">
        <v>160</v>
      </c>
      <c r="C8" s="427"/>
      <c r="D8" s="427"/>
      <c r="E8" s="427"/>
      <c r="F8" s="427"/>
      <c r="G8" s="427"/>
      <c r="H8" s="427"/>
      <c r="I8" s="427"/>
      <c r="J8" s="427"/>
      <c r="K8" s="427"/>
      <c r="L8" s="427"/>
      <c r="M8" s="427"/>
      <c r="N8" s="428"/>
      <c r="O8" s="429" t="s">
        <v>16</v>
      </c>
    </row>
    <row r="9" spans="1:16" s="2" customFormat="1" ht="25.05" customHeight="1" x14ac:dyDescent="0.3">
      <c r="A9" s="33"/>
      <c r="B9" s="427"/>
      <c r="C9" s="427"/>
      <c r="D9" s="427"/>
      <c r="E9" s="427"/>
      <c r="F9" s="427"/>
      <c r="G9" s="427"/>
      <c r="H9" s="427"/>
      <c r="I9" s="427"/>
      <c r="J9" s="427"/>
      <c r="K9" s="427"/>
      <c r="L9" s="427"/>
      <c r="M9" s="427"/>
      <c r="N9" s="428"/>
      <c r="O9" s="429"/>
    </row>
    <row r="10" spans="1:16" s="2" customFormat="1" ht="25.05" customHeight="1" x14ac:dyDescent="0.3">
      <c r="A10" s="33"/>
      <c r="B10" s="427" t="s">
        <v>169</v>
      </c>
      <c r="C10" s="427"/>
      <c r="D10" s="427"/>
      <c r="E10" s="427"/>
      <c r="F10" s="427"/>
      <c r="G10" s="427"/>
      <c r="H10" s="427"/>
      <c r="I10" s="427"/>
      <c r="J10" s="427"/>
      <c r="K10" s="427"/>
      <c r="L10" s="427"/>
      <c r="M10" s="427"/>
      <c r="N10" s="428"/>
      <c r="O10" s="429" t="s">
        <v>16</v>
      </c>
    </row>
    <row r="11" spans="1:16" s="2" customFormat="1" ht="25.05" customHeight="1" x14ac:dyDescent="0.3">
      <c r="A11" s="33"/>
      <c r="B11" s="427"/>
      <c r="C11" s="427"/>
      <c r="D11" s="427"/>
      <c r="E11" s="427"/>
      <c r="F11" s="427"/>
      <c r="G11" s="427"/>
      <c r="H11" s="427"/>
      <c r="I11" s="427"/>
      <c r="J11" s="427"/>
      <c r="K11" s="427"/>
      <c r="L11" s="427"/>
      <c r="M11" s="427"/>
      <c r="N11" s="428"/>
      <c r="O11" s="429"/>
    </row>
    <row r="12" spans="1:16" s="2" customFormat="1" ht="25.05" customHeight="1" x14ac:dyDescent="0.3">
      <c r="A12" s="33"/>
      <c r="B12" s="427" t="s">
        <v>170</v>
      </c>
      <c r="C12" s="427"/>
      <c r="D12" s="427"/>
      <c r="E12" s="427"/>
      <c r="F12" s="427"/>
      <c r="G12" s="427"/>
      <c r="H12" s="427"/>
      <c r="I12" s="427"/>
      <c r="J12" s="427"/>
      <c r="K12" s="427"/>
      <c r="L12" s="427"/>
      <c r="M12" s="427"/>
      <c r="N12" s="428"/>
      <c r="O12" s="429" t="s">
        <v>16</v>
      </c>
    </row>
    <row r="13" spans="1:16" s="2" customFormat="1" ht="25.05" customHeight="1" x14ac:dyDescent="0.3">
      <c r="A13" s="33"/>
      <c r="B13" s="427"/>
      <c r="C13" s="427"/>
      <c r="D13" s="427"/>
      <c r="E13" s="427"/>
      <c r="F13" s="427"/>
      <c r="G13" s="427"/>
      <c r="H13" s="427"/>
      <c r="I13" s="427"/>
      <c r="J13" s="427"/>
      <c r="K13" s="427"/>
      <c r="L13" s="427"/>
      <c r="M13" s="427"/>
      <c r="N13" s="428"/>
      <c r="O13" s="429"/>
    </row>
    <row r="14" spans="1:16" s="2" customFormat="1" ht="25.05" customHeight="1" x14ac:dyDescent="0.3">
      <c r="A14" s="33"/>
      <c r="B14" s="427" t="s">
        <v>171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8"/>
      <c r="O14" s="429" t="s">
        <v>16</v>
      </c>
    </row>
    <row r="15" spans="1:16" s="2" customFormat="1" ht="25.05" customHeight="1" x14ac:dyDescent="0.3">
      <c r="A15" s="33"/>
      <c r="B15" s="427"/>
      <c r="C15" s="427"/>
      <c r="D15" s="427"/>
      <c r="E15" s="427"/>
      <c r="F15" s="427"/>
      <c r="G15" s="427"/>
      <c r="H15" s="427"/>
      <c r="I15" s="427"/>
      <c r="J15" s="427"/>
      <c r="K15" s="427"/>
      <c r="L15" s="427"/>
      <c r="M15" s="427"/>
      <c r="N15" s="428"/>
      <c r="O15" s="429"/>
    </row>
    <row r="16" spans="1:16" s="2" customFormat="1" ht="25.05" customHeight="1" x14ac:dyDescent="0.3">
      <c r="A16" s="33"/>
      <c r="B16" s="427" t="s">
        <v>172</v>
      </c>
      <c r="C16" s="427"/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8"/>
      <c r="O16" s="429" t="s">
        <v>16</v>
      </c>
    </row>
    <row r="17" spans="1:15" s="2" customFormat="1" ht="25.05" customHeight="1" x14ac:dyDescent="0.3">
      <c r="A17" s="33"/>
      <c r="B17" s="427"/>
      <c r="C17" s="427"/>
      <c r="D17" s="427"/>
      <c r="E17" s="427"/>
      <c r="F17" s="427"/>
      <c r="G17" s="427"/>
      <c r="H17" s="427"/>
      <c r="I17" s="427"/>
      <c r="J17" s="427"/>
      <c r="K17" s="427"/>
      <c r="L17" s="427"/>
      <c r="M17" s="427"/>
      <c r="N17" s="428"/>
      <c r="O17" s="429"/>
    </row>
    <row r="18" spans="1:15" s="2" customFormat="1" ht="25.05" customHeight="1" x14ac:dyDescent="0.3">
      <c r="A18" s="33"/>
      <c r="B18" s="427" t="s">
        <v>173</v>
      </c>
      <c r="C18" s="427"/>
      <c r="D18" s="427"/>
      <c r="E18" s="427"/>
      <c r="F18" s="427"/>
      <c r="G18" s="427"/>
      <c r="H18" s="427"/>
      <c r="I18" s="427"/>
      <c r="J18" s="427"/>
      <c r="K18" s="427"/>
      <c r="L18" s="427"/>
      <c r="M18" s="427"/>
      <c r="N18" s="428"/>
      <c r="O18" s="429" t="s">
        <v>16</v>
      </c>
    </row>
    <row r="19" spans="1:15" s="2" customFormat="1" ht="25.05" customHeight="1" x14ac:dyDescent="0.3">
      <c r="A19" s="33"/>
      <c r="B19" s="427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7"/>
      <c r="N19" s="428"/>
      <c r="O19" s="429"/>
    </row>
    <row r="20" spans="1:15" s="2" customFormat="1" ht="25.05" customHeight="1" x14ac:dyDescent="0.3">
      <c r="A20" s="33"/>
      <c r="B20" s="427" t="s">
        <v>174</v>
      </c>
      <c r="C20" s="427"/>
      <c r="D20" s="427"/>
      <c r="E20" s="427"/>
      <c r="F20" s="427"/>
      <c r="G20" s="427"/>
      <c r="H20" s="427"/>
      <c r="I20" s="427"/>
      <c r="J20" s="427"/>
      <c r="K20" s="427"/>
      <c r="L20" s="427"/>
      <c r="M20" s="427"/>
      <c r="N20" s="428"/>
      <c r="O20" s="429" t="s">
        <v>16</v>
      </c>
    </row>
    <row r="21" spans="1:15" s="2" customFormat="1" ht="25.05" customHeight="1" x14ac:dyDescent="0.3">
      <c r="A21" s="33"/>
      <c r="B21" s="427"/>
      <c r="C21" s="427"/>
      <c r="D21" s="427"/>
      <c r="E21" s="427"/>
      <c r="F21" s="427"/>
      <c r="G21" s="427"/>
      <c r="H21" s="427"/>
      <c r="I21" s="427"/>
      <c r="J21" s="427"/>
      <c r="K21" s="427"/>
      <c r="L21" s="427"/>
      <c r="M21" s="427"/>
      <c r="N21" s="428"/>
      <c r="O21" s="429"/>
    </row>
    <row r="22" spans="1:15" s="2" customFormat="1" ht="25.05" customHeight="1" x14ac:dyDescent="0.3">
      <c r="A22" s="33"/>
      <c r="B22" s="427" t="s">
        <v>175</v>
      </c>
      <c r="C22" s="427"/>
      <c r="D22" s="427"/>
      <c r="E22" s="427"/>
      <c r="F22" s="427"/>
      <c r="G22" s="427"/>
      <c r="H22" s="427"/>
      <c r="I22" s="427"/>
      <c r="J22" s="427"/>
      <c r="K22" s="427"/>
      <c r="L22" s="427"/>
      <c r="M22" s="427"/>
      <c r="N22" s="428"/>
      <c r="O22" s="429" t="s">
        <v>16</v>
      </c>
    </row>
    <row r="23" spans="1:15" s="2" customFormat="1" ht="25.05" customHeight="1" x14ac:dyDescent="0.3">
      <c r="A23" s="33"/>
      <c r="B23" s="427"/>
      <c r="C23" s="427"/>
      <c r="D23" s="427"/>
      <c r="E23" s="427"/>
      <c r="F23" s="427"/>
      <c r="G23" s="427"/>
      <c r="H23" s="427"/>
      <c r="I23" s="427"/>
      <c r="J23" s="427"/>
      <c r="K23" s="427"/>
      <c r="L23" s="427"/>
      <c r="M23" s="427"/>
      <c r="N23" s="428"/>
      <c r="O23" s="429"/>
    </row>
    <row r="24" spans="1:15" s="2" customFormat="1" ht="25.05" customHeight="1" x14ac:dyDescent="0.3">
      <c r="A24" s="33"/>
      <c r="B24" s="427" t="s">
        <v>176</v>
      </c>
      <c r="C24" s="427"/>
      <c r="D24" s="427"/>
      <c r="E24" s="427"/>
      <c r="F24" s="427"/>
      <c r="G24" s="427"/>
      <c r="H24" s="427"/>
      <c r="I24" s="427"/>
      <c r="J24" s="427"/>
      <c r="K24" s="427"/>
      <c r="L24" s="427"/>
      <c r="M24" s="427"/>
      <c r="N24" s="428"/>
      <c r="O24" s="429" t="s">
        <v>16</v>
      </c>
    </row>
    <row r="25" spans="1:15" s="2" customFormat="1" ht="25.05" customHeight="1" x14ac:dyDescent="0.3">
      <c r="A25" s="33"/>
      <c r="B25" s="427"/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8"/>
      <c r="O25" s="429"/>
    </row>
    <row r="26" spans="1:15" s="2" customFormat="1" ht="25.05" customHeight="1" x14ac:dyDescent="0.3">
      <c r="A26" s="33"/>
      <c r="B26" s="597" t="s">
        <v>177</v>
      </c>
      <c r="C26" s="427"/>
      <c r="D26" s="427"/>
      <c r="E26" s="427"/>
      <c r="F26" s="427"/>
      <c r="G26" s="427"/>
      <c r="H26" s="427"/>
      <c r="I26" s="427"/>
      <c r="J26" s="427"/>
      <c r="K26" s="427"/>
      <c r="L26" s="427"/>
      <c r="M26" s="427"/>
      <c r="N26" s="428"/>
      <c r="O26" s="596" t="s">
        <v>16</v>
      </c>
    </row>
    <row r="27" spans="1:15" s="2" customFormat="1" ht="25.05" customHeight="1" x14ac:dyDescent="0.3">
      <c r="A27" s="33"/>
      <c r="B27" s="597"/>
      <c r="C27" s="427"/>
      <c r="D27" s="427"/>
      <c r="E27" s="427"/>
      <c r="F27" s="427"/>
      <c r="G27" s="427"/>
      <c r="H27" s="427"/>
      <c r="I27" s="427"/>
      <c r="J27" s="427"/>
      <c r="K27" s="427"/>
      <c r="L27" s="427"/>
      <c r="M27" s="427"/>
      <c r="N27" s="428"/>
      <c r="O27" s="596"/>
    </row>
    <row r="28" spans="1:15" s="2" customFormat="1" ht="25.05" customHeight="1" x14ac:dyDescent="0.3">
      <c r="A28" s="33"/>
      <c r="B28" s="447" t="s">
        <v>178</v>
      </c>
      <c r="C28" s="448"/>
      <c r="D28" s="448"/>
      <c r="E28" s="448"/>
      <c r="F28" s="448"/>
      <c r="G28" s="448"/>
      <c r="H28" s="448"/>
      <c r="I28" s="448"/>
      <c r="J28" s="448"/>
      <c r="K28" s="448"/>
      <c r="L28" s="448"/>
      <c r="M28" s="448"/>
      <c r="N28" s="449"/>
      <c r="O28" s="596" t="s">
        <v>16</v>
      </c>
    </row>
    <row r="29" spans="1:15" s="2" customFormat="1" ht="25.05" customHeight="1" x14ac:dyDescent="0.3">
      <c r="A29" s="33"/>
      <c r="B29" s="447"/>
      <c r="C29" s="448"/>
      <c r="D29" s="448"/>
      <c r="E29" s="448"/>
      <c r="F29" s="448"/>
      <c r="G29" s="448"/>
      <c r="H29" s="448"/>
      <c r="I29" s="448"/>
      <c r="J29" s="448"/>
      <c r="K29" s="448"/>
      <c r="L29" s="448"/>
      <c r="M29" s="448"/>
      <c r="N29" s="449"/>
      <c r="O29" s="596"/>
    </row>
    <row r="30" spans="1:15" s="2" customFormat="1" ht="25.05" customHeight="1" x14ac:dyDescent="0.3">
      <c r="A30" s="33"/>
      <c r="B30" s="447" t="s">
        <v>179</v>
      </c>
      <c r="C30" s="448"/>
      <c r="D30" s="448"/>
      <c r="E30" s="448"/>
      <c r="F30" s="448"/>
      <c r="G30" s="448"/>
      <c r="H30" s="448"/>
      <c r="I30" s="448"/>
      <c r="J30" s="448"/>
      <c r="K30" s="448"/>
      <c r="L30" s="448"/>
      <c r="M30" s="448"/>
      <c r="N30" s="449"/>
      <c r="O30" s="596" t="s">
        <v>16</v>
      </c>
    </row>
    <row r="31" spans="1:15" s="2" customFormat="1" ht="25.05" customHeight="1" x14ac:dyDescent="0.3">
      <c r="A31" s="33"/>
      <c r="B31" s="447"/>
      <c r="C31" s="448"/>
      <c r="D31" s="448"/>
      <c r="E31" s="448"/>
      <c r="F31" s="448"/>
      <c r="G31" s="448"/>
      <c r="H31" s="448"/>
      <c r="I31" s="448"/>
      <c r="J31" s="448"/>
      <c r="K31" s="448"/>
      <c r="L31" s="448"/>
      <c r="M31" s="448"/>
      <c r="N31" s="449"/>
      <c r="O31" s="596"/>
    </row>
    <row r="32" spans="1:15" s="2" customFormat="1" ht="25.05" customHeight="1" x14ac:dyDescent="0.3">
      <c r="A32" s="33"/>
      <c r="B32" s="447" t="s">
        <v>180</v>
      </c>
      <c r="C32" s="448"/>
      <c r="D32" s="448"/>
      <c r="E32" s="448"/>
      <c r="F32" s="448"/>
      <c r="G32" s="448"/>
      <c r="H32" s="448"/>
      <c r="I32" s="448"/>
      <c r="J32" s="448"/>
      <c r="K32" s="448"/>
      <c r="L32" s="448"/>
      <c r="M32" s="448"/>
      <c r="N32" s="449"/>
      <c r="O32" s="429" t="s">
        <v>16</v>
      </c>
    </row>
    <row r="33" spans="1:15" s="2" customFormat="1" ht="25.05" customHeight="1" thickBot="1" x14ac:dyDescent="0.35">
      <c r="A33" s="33"/>
      <c r="B33" s="450"/>
      <c r="C33" s="451"/>
      <c r="D33" s="451"/>
      <c r="E33" s="451"/>
      <c r="F33" s="451"/>
      <c r="G33" s="451"/>
      <c r="H33" s="451"/>
      <c r="I33" s="451"/>
      <c r="J33" s="451"/>
      <c r="K33" s="451"/>
      <c r="L33" s="451"/>
      <c r="M33" s="451"/>
      <c r="N33" s="452"/>
      <c r="O33" s="595"/>
    </row>
    <row r="34" spans="1:15" ht="25.05" customHeight="1" thickTop="1" thickBot="1" x14ac:dyDescent="0.35"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spans="1:15" ht="22.05" customHeight="1" x14ac:dyDescent="0.3">
      <c r="B35" s="444" t="s">
        <v>66</v>
      </c>
      <c r="C35" s="445"/>
      <c r="D35" s="445"/>
      <c r="E35" s="445"/>
      <c r="F35" s="445"/>
      <c r="G35" s="445"/>
      <c r="H35" s="445"/>
      <c r="I35" s="445"/>
      <c r="J35" s="445"/>
      <c r="K35" s="445"/>
      <c r="L35" s="445"/>
      <c r="M35" s="445"/>
      <c r="N35" s="445"/>
      <c r="O35" s="446"/>
    </row>
    <row r="36" spans="1:15" ht="15" customHeight="1" x14ac:dyDescent="0.3">
      <c r="B36" s="457" t="s">
        <v>67</v>
      </c>
      <c r="C36" s="458"/>
      <c r="D36" s="458"/>
      <c r="E36" s="458"/>
      <c r="F36" s="479" t="s">
        <v>140</v>
      </c>
      <c r="G36" s="479"/>
      <c r="H36" s="479"/>
      <c r="I36" s="479"/>
      <c r="J36" s="479"/>
      <c r="K36" s="479"/>
      <c r="L36" s="479"/>
      <c r="M36" s="479"/>
      <c r="N36" s="479"/>
      <c r="O36" s="480"/>
    </row>
    <row r="37" spans="1:15" ht="15" customHeight="1" x14ac:dyDescent="0.3">
      <c r="B37" s="457" t="s">
        <v>68</v>
      </c>
      <c r="C37" s="458"/>
      <c r="D37" s="458"/>
      <c r="E37" s="458"/>
      <c r="F37" s="479" t="s">
        <v>248</v>
      </c>
      <c r="G37" s="479"/>
      <c r="H37" s="479"/>
      <c r="I37" s="479"/>
      <c r="J37" s="479"/>
      <c r="K37" s="479"/>
      <c r="L37" s="479"/>
      <c r="M37" s="479"/>
      <c r="N37" s="479"/>
      <c r="O37" s="480"/>
    </row>
    <row r="38" spans="1:15" ht="15" customHeight="1" x14ac:dyDescent="0.3">
      <c r="B38" s="457" t="s">
        <v>69</v>
      </c>
      <c r="C38" s="458"/>
      <c r="D38" s="458"/>
      <c r="E38" s="458"/>
      <c r="F38" s="481" t="s">
        <v>188</v>
      </c>
      <c r="G38" s="479"/>
      <c r="H38" s="479"/>
      <c r="I38" s="479"/>
      <c r="J38" s="479"/>
      <c r="K38" s="479"/>
      <c r="L38" s="479"/>
      <c r="M38" s="479"/>
      <c r="N38" s="479"/>
      <c r="O38" s="480"/>
    </row>
    <row r="39" spans="1:15" ht="15" customHeight="1" x14ac:dyDescent="0.3">
      <c r="B39" s="457" t="s">
        <v>70</v>
      </c>
      <c r="C39" s="458"/>
      <c r="D39" s="458"/>
      <c r="E39" s="458"/>
      <c r="F39" s="479" t="s">
        <v>71</v>
      </c>
      <c r="G39" s="479"/>
      <c r="H39" s="479"/>
      <c r="I39" s="479"/>
      <c r="J39" s="479"/>
      <c r="K39" s="479"/>
      <c r="L39" s="479"/>
      <c r="M39" s="479"/>
      <c r="N39" s="479"/>
      <c r="O39" s="480"/>
    </row>
    <row r="40" spans="1:15" ht="15" customHeight="1" x14ac:dyDescent="0.3">
      <c r="B40" s="457" t="s">
        <v>72</v>
      </c>
      <c r="C40" s="458"/>
      <c r="D40" s="458"/>
      <c r="E40" s="458"/>
      <c r="F40" s="459" t="s">
        <v>73</v>
      </c>
      <c r="G40" s="459"/>
      <c r="H40" s="459"/>
      <c r="I40" s="459"/>
      <c r="J40" s="459"/>
      <c r="K40" s="459"/>
      <c r="L40" s="459"/>
      <c r="M40" s="459"/>
      <c r="N40" s="459"/>
      <c r="O40" s="482"/>
    </row>
    <row r="41" spans="1:15" ht="15" customHeight="1" x14ac:dyDescent="0.3">
      <c r="B41" s="457" t="s">
        <v>74</v>
      </c>
      <c r="C41" s="458"/>
      <c r="D41" s="458"/>
      <c r="E41" s="458"/>
      <c r="F41" s="479" t="s">
        <v>75</v>
      </c>
      <c r="G41" s="479"/>
      <c r="H41" s="479"/>
      <c r="I41" s="479"/>
      <c r="J41" s="479"/>
      <c r="K41" s="479"/>
      <c r="L41" s="479"/>
      <c r="M41" s="479"/>
      <c r="N41" s="479"/>
      <c r="O41" s="480"/>
    </row>
    <row r="42" spans="1:15" ht="15" customHeight="1" x14ac:dyDescent="0.3">
      <c r="B42" s="457" t="s">
        <v>76</v>
      </c>
      <c r="C42" s="458"/>
      <c r="D42" s="458"/>
      <c r="E42" s="458"/>
      <c r="F42" s="459" t="s">
        <v>189</v>
      </c>
      <c r="G42" s="460"/>
      <c r="H42" s="460"/>
      <c r="I42" s="460"/>
      <c r="J42" s="460"/>
      <c r="K42" s="460"/>
      <c r="L42" s="460"/>
      <c r="M42" s="460"/>
      <c r="N42" s="460"/>
      <c r="O42" s="461"/>
    </row>
    <row r="43" spans="1:15" ht="15" customHeight="1" x14ac:dyDescent="0.3">
      <c r="B43" s="457" t="s">
        <v>77</v>
      </c>
      <c r="C43" s="458"/>
      <c r="D43" s="458"/>
      <c r="E43" s="458"/>
      <c r="F43" s="459" t="s">
        <v>190</v>
      </c>
      <c r="G43" s="460"/>
      <c r="H43" s="460"/>
      <c r="I43" s="460"/>
      <c r="J43" s="460"/>
      <c r="K43" s="460"/>
      <c r="L43" s="460"/>
      <c r="M43" s="460"/>
      <c r="N43" s="460"/>
      <c r="O43" s="461"/>
    </row>
    <row r="44" spans="1:15" ht="30" customHeight="1" thickBot="1" x14ac:dyDescent="0.35">
      <c r="B44" s="462" t="s">
        <v>78</v>
      </c>
      <c r="C44" s="463"/>
      <c r="D44" s="463"/>
      <c r="E44" s="463"/>
      <c r="F44" s="464" t="s">
        <v>79</v>
      </c>
      <c r="G44" s="464"/>
      <c r="H44" s="464"/>
      <c r="I44" s="464"/>
      <c r="J44" s="464"/>
      <c r="K44" s="464"/>
      <c r="L44" s="464"/>
      <c r="M44" s="464"/>
      <c r="N44" s="464"/>
      <c r="O44" s="465"/>
    </row>
    <row r="45" spans="1:15" ht="25.05" customHeight="1" x14ac:dyDescent="0.25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</row>
  </sheetData>
  <mergeCells count="51">
    <mergeCell ref="B2:C3"/>
    <mergeCell ref="D2:O2"/>
    <mergeCell ref="D3:O3"/>
    <mergeCell ref="B5:O5"/>
    <mergeCell ref="B6:N7"/>
    <mergeCell ref="O6:O7"/>
    <mergeCell ref="B8:N9"/>
    <mergeCell ref="O8:O9"/>
    <mergeCell ref="B10:N11"/>
    <mergeCell ref="O10:O11"/>
    <mergeCell ref="B12:N13"/>
    <mergeCell ref="O12:O13"/>
    <mergeCell ref="B44:E44"/>
    <mergeCell ref="F44:O44"/>
    <mergeCell ref="B40:E40"/>
    <mergeCell ref="F40:O40"/>
    <mergeCell ref="B14:N15"/>
    <mergeCell ref="O14:O15"/>
    <mergeCell ref="B37:E37"/>
    <mergeCell ref="F37:O37"/>
    <mergeCell ref="B16:N17"/>
    <mergeCell ref="O16:O17"/>
    <mergeCell ref="B24:N25"/>
    <mergeCell ref="O24:O25"/>
    <mergeCell ref="B18:N19"/>
    <mergeCell ref="O18:O19"/>
    <mergeCell ref="O26:O27"/>
    <mergeCell ref="B28:N29"/>
    <mergeCell ref="B20:N21"/>
    <mergeCell ref="O20:O21"/>
    <mergeCell ref="B22:N23"/>
    <mergeCell ref="O22:O23"/>
    <mergeCell ref="B41:E41"/>
    <mergeCell ref="F41:O41"/>
    <mergeCell ref="B32:N33"/>
    <mergeCell ref="O32:O33"/>
    <mergeCell ref="F36:O36"/>
    <mergeCell ref="B35:O35"/>
    <mergeCell ref="B30:N31"/>
    <mergeCell ref="O28:O29"/>
    <mergeCell ref="O30:O31"/>
    <mergeCell ref="B26:N27"/>
    <mergeCell ref="B36:E36"/>
    <mergeCell ref="B42:E42"/>
    <mergeCell ref="F42:O42"/>
    <mergeCell ref="B43:E43"/>
    <mergeCell ref="F43:O43"/>
    <mergeCell ref="B38:E38"/>
    <mergeCell ref="F38:O38"/>
    <mergeCell ref="B39:E39"/>
    <mergeCell ref="F39:O39"/>
  </mergeCells>
  <hyperlinks>
    <hyperlink ref="O8:O9" r:id="rId1" display="Link" xr:uid="{4288AF40-7097-4AC2-AACA-EFF79EAC3E6F}"/>
    <hyperlink ref="O10:O11" r:id="rId2" display="Link" xr:uid="{BF9461C5-E9A6-46CF-A5D5-ACC02037AB16}"/>
    <hyperlink ref="O14:O15" r:id="rId3" display="Link" xr:uid="{1D0111E8-F3CF-4403-80FD-A5ACF466C112}"/>
    <hyperlink ref="O16:O17" r:id="rId4" display="Link" xr:uid="{74767326-B48F-4FE8-8282-28C182EDC8FC}"/>
    <hyperlink ref="O20:O21" r:id="rId5" display="Link" xr:uid="{C4FE847D-AFAA-41CE-8B33-69842E357AB6}"/>
    <hyperlink ref="O12:O13" r:id="rId6" display="Link" xr:uid="{7D80469E-468E-4510-8743-6BC766564A20}"/>
    <hyperlink ref="O22:O23" r:id="rId7" display="Link" xr:uid="{DB0AB452-4E2E-4239-AB01-8271E7EA5539}"/>
    <hyperlink ref="B40" r:id="rId8" display="https://grupolabr.com/Team.html" xr:uid="{DFC15602-A38C-4677-B6DB-25B3C603A268}"/>
    <hyperlink ref="O6:O7" r:id="rId9" display="Link" xr:uid="{18270624-B719-4CEB-BB38-6B604332C685}"/>
    <hyperlink ref="O18:O19" r:id="rId10" display="Link" xr:uid="{2D94AADF-B367-4A11-8644-82DC92A12F5D}"/>
    <hyperlink ref="O24:O25" r:id="rId11" display="Link" xr:uid="{594F9F32-16E7-4A2A-90CE-DC4345F263F4}"/>
    <hyperlink ref="O26:O27" r:id="rId12" display="Link" xr:uid="{FA798090-A451-4150-8D4F-F23D5D581989}"/>
    <hyperlink ref="O28:O29" r:id="rId13" display="Link" xr:uid="{628D23BD-0B9F-4EFB-B490-1694065C6734}"/>
    <hyperlink ref="O30:O31" r:id="rId14" display="Link" xr:uid="{D36DCBD6-902D-43D7-841F-BC710D0D4500}"/>
    <hyperlink ref="O32:O33" r:id="rId15" display="Link" xr:uid="{40B5404E-5ABE-402A-A79F-940C882FED1D}"/>
    <hyperlink ref="F40" r:id="rId16" xr:uid="{6B6E981B-4DC0-4C14-8F19-472380CBB902}"/>
    <hyperlink ref="F40:O40" r:id="rId17" display="https://orcid.org/0000-0002-7159-4593" xr:uid="{86AF2420-A0EE-439A-B7A9-366E7FF7F627}"/>
    <hyperlink ref="F42" r:id="rId18" xr:uid="{103E3DA4-291F-42C3-9128-731DBEB9E7EF}"/>
    <hyperlink ref="F43" r:id="rId19" xr:uid="{738E2764-6EA4-41D0-AA29-8688C417B35B}"/>
  </hyperlinks>
  <pageMargins left="0.7" right="0.7" top="0.75" bottom="0.75" header="0.3" footer="0.3"/>
  <pageSetup paperSize="9" orientation="portrait" r:id="rId20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Readme</vt:lpstr>
      <vt:lpstr>Input Group 1</vt:lpstr>
      <vt:lpstr>Input Group 2</vt:lpstr>
      <vt:lpstr>Heatmap</vt:lpstr>
      <vt:lpstr>PRIDE-RL ranking</vt:lpstr>
      <vt:lpstr>PRIDe-RL scoring framework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Carvalho Dias</dc:creator>
  <cp:lastModifiedBy>Alan Carvalho Dias</cp:lastModifiedBy>
  <cp:lastPrinted>2026-09-09T18:18:23Z</cp:lastPrinted>
  <dcterms:created xsi:type="dcterms:W3CDTF">2026-09-07T03:40:10Z</dcterms:created>
  <dcterms:modified xsi:type="dcterms:W3CDTF">2026-10-28T18:46:27Z</dcterms:modified>
</cp:coreProperties>
</file>